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 activeTab="3"/>
  </bookViews>
  <sheets>
    <sheet name="1-чорак " sheetId="5" r:id="rId1"/>
    <sheet name="9 ойлик" sheetId="7" r:id="rId2"/>
    <sheet name="1-ярим йил" sheetId="6" r:id="rId3"/>
    <sheet name="9 oylik" sheetId="8" r:id="rId4"/>
  </sheets>
  <calcPr calcId="145621"/>
</workbook>
</file>

<file path=xl/calcChain.xml><?xml version="1.0" encoding="utf-8"?>
<calcChain xmlns="http://schemas.openxmlformats.org/spreadsheetml/2006/main">
  <c r="F16" i="6" l="1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D16" i="6"/>
  <c r="C16" i="6"/>
  <c r="C8" i="6"/>
  <c r="X15" i="6"/>
  <c r="P15" i="6"/>
  <c r="L15" i="6"/>
  <c r="C15" i="6"/>
  <c r="V14" i="6"/>
  <c r="U14" i="6"/>
  <c r="H14" i="6"/>
  <c r="F14" i="6"/>
  <c r="C14" i="6" s="1"/>
  <c r="H13" i="6"/>
  <c r="C13" i="6"/>
  <c r="V12" i="6"/>
  <c r="U12" i="6"/>
  <c r="T12" i="6"/>
  <c r="S12" i="6"/>
  <c r="R12" i="6"/>
  <c r="Q12" i="6"/>
  <c r="H12" i="6"/>
  <c r="D12" i="6"/>
  <c r="C12" i="6"/>
  <c r="E11" i="6"/>
  <c r="C11" i="6"/>
  <c r="A11" i="6"/>
  <c r="A12" i="6" s="1"/>
  <c r="D10" i="6"/>
  <c r="C10" i="6"/>
  <c r="A10" i="6"/>
  <c r="E9" i="6"/>
  <c r="C9" i="6"/>
  <c r="A9" i="6"/>
  <c r="F8" i="6"/>
  <c r="E8" i="6"/>
  <c r="D8" i="6"/>
  <c r="C18" i="8" l="1"/>
  <c r="AC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F18" i="8"/>
  <c r="D18" i="8"/>
  <c r="C16" i="8"/>
  <c r="C17" i="8"/>
  <c r="C15" i="8"/>
  <c r="F19" i="7"/>
  <c r="P15" i="8"/>
  <c r="C10" i="8" l="1"/>
  <c r="C9" i="8"/>
  <c r="C11" i="8"/>
  <c r="C13" i="7"/>
  <c r="AG18" i="8"/>
  <c r="AE18" i="8"/>
  <c r="AD18" i="8"/>
  <c r="X15" i="8"/>
  <c r="L15" i="8"/>
  <c r="V14" i="8"/>
  <c r="U14" i="8"/>
  <c r="H14" i="8"/>
  <c r="F14" i="8"/>
  <c r="AF13" i="8"/>
  <c r="AF18" i="8" s="1"/>
  <c r="H13" i="8"/>
  <c r="C13" i="8" s="1"/>
  <c r="V12" i="8"/>
  <c r="U12" i="8"/>
  <c r="T12" i="8"/>
  <c r="S12" i="8"/>
  <c r="R12" i="8"/>
  <c r="Q12" i="8"/>
  <c r="H12" i="8"/>
  <c r="D12" i="8"/>
  <c r="E11" i="8"/>
  <c r="D10" i="8"/>
  <c r="E9" i="8"/>
  <c r="A9" i="8"/>
  <c r="A10" i="8" s="1"/>
  <c r="A11" i="8" s="1"/>
  <c r="A12" i="8" s="1"/>
  <c r="F8" i="8"/>
  <c r="E8" i="8"/>
  <c r="D8" i="8"/>
  <c r="C14" i="8" l="1"/>
  <c r="C8" i="8"/>
  <c r="C12" i="8"/>
  <c r="AC19" i="7" l="1"/>
  <c r="AA19" i="7"/>
  <c r="Z19" i="7"/>
  <c r="Y19" i="7"/>
  <c r="V19" i="7"/>
  <c r="O19" i="7"/>
  <c r="N19" i="7"/>
  <c r="M19" i="7"/>
  <c r="K19" i="7"/>
  <c r="J19" i="7"/>
  <c r="I19" i="7"/>
  <c r="G19" i="7"/>
  <c r="C18" i="7"/>
  <c r="A18" i="7"/>
  <c r="C17" i="7"/>
  <c r="A17" i="7"/>
  <c r="X16" i="7"/>
  <c r="X19" i="7" s="1"/>
  <c r="W16" i="7"/>
  <c r="W19" i="7" s="1"/>
  <c r="O16" i="7"/>
  <c r="L16" i="7"/>
  <c r="L19" i="7" s="1"/>
  <c r="U15" i="7"/>
  <c r="T15" i="7"/>
  <c r="H15" i="7"/>
  <c r="F15" i="7"/>
  <c r="C15" i="7"/>
  <c r="AB14" i="7"/>
  <c r="AB19" i="7" s="1"/>
  <c r="W14" i="7"/>
  <c r="H14" i="7"/>
  <c r="C14" i="7"/>
  <c r="U13" i="7"/>
  <c r="U19" i="7" s="1"/>
  <c r="T13" i="7"/>
  <c r="T19" i="7" s="1"/>
  <c r="S13" i="7"/>
  <c r="S19" i="7" s="1"/>
  <c r="R13" i="7"/>
  <c r="R19" i="7" s="1"/>
  <c r="Q13" i="7"/>
  <c r="Q19" i="7" s="1"/>
  <c r="P13" i="7"/>
  <c r="P19" i="7" s="1"/>
  <c r="H13" i="7"/>
  <c r="D13" i="7"/>
  <c r="E12" i="7"/>
  <c r="C12" i="7"/>
  <c r="D11" i="7"/>
  <c r="C11" i="7"/>
  <c r="A11" i="7"/>
  <c r="A12" i="7" s="1"/>
  <c r="A13" i="7" s="1"/>
  <c r="E10" i="7"/>
  <c r="C10" i="7"/>
  <c r="A10" i="7"/>
  <c r="F9" i="7"/>
  <c r="C9" i="7" s="1"/>
  <c r="E9" i="7"/>
  <c r="D9" i="7"/>
  <c r="D19" i="7" s="1"/>
  <c r="H19" i="7" l="1"/>
  <c r="C16" i="7"/>
  <c r="C19" i="7" s="1"/>
  <c r="C14" i="5" l="1"/>
  <c r="H14" i="5"/>
  <c r="W15" i="5"/>
  <c r="V15" i="5"/>
  <c r="U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T15" i="5"/>
  <c r="W14" i="5"/>
  <c r="T14" i="5"/>
  <c r="R13" i="5" l="1"/>
  <c r="C10" i="5"/>
  <c r="C11" i="5"/>
  <c r="C12" i="5"/>
  <c r="C13" i="5"/>
  <c r="E9" i="5" l="1"/>
  <c r="O13" i="5"/>
  <c r="P13" i="5"/>
  <c r="Q13" i="5"/>
  <c r="H13" i="5"/>
  <c r="D13" i="5" l="1"/>
  <c r="D11" i="5"/>
  <c r="D9" i="5"/>
  <c r="N13" i="5" l="1"/>
  <c r="M13" i="5"/>
  <c r="E12" i="5" l="1"/>
  <c r="E10" i="5" l="1"/>
  <c r="F9" i="5" l="1"/>
  <c r="X15" i="5"/>
  <c r="A10" i="5"/>
  <c r="A11" i="5" s="1"/>
  <c r="A12" i="5" s="1"/>
  <c r="A13" i="5" s="1"/>
  <c r="C15" i="5" l="1"/>
  <c r="C9" i="5"/>
</calcChain>
</file>

<file path=xl/sharedStrings.xml><?xml version="1.0" encoding="utf-8"?>
<sst xmlns="http://schemas.openxmlformats.org/spreadsheetml/2006/main" count="172" uniqueCount="98">
  <si>
    <t>т.р</t>
  </si>
  <si>
    <t>Холат сони</t>
  </si>
  <si>
    <t>Тизимлар номи</t>
  </si>
  <si>
    <t>иш ҳақи ва унга тенглаштирилган тўловлар бўйича асоссиз ва ортиқча ҳаражатлар</t>
  </si>
  <si>
    <t>Жамланма ҳужжатлар (смета ва ҳисоботлар) орқали ички аудитдан ўтказилган харажатлар миқдори</t>
  </si>
  <si>
    <t>Асосий воситаларнинг камомади</t>
  </si>
  <si>
    <t>Жами</t>
  </si>
  <si>
    <t xml:space="preserve">Х </t>
  </si>
  <si>
    <t>Ўзбекистон ДАРДТ</t>
  </si>
  <si>
    <t>Оперетта театри</t>
  </si>
  <si>
    <t>Жиззах ихтисослаштирилган мусика мактаби</t>
  </si>
  <si>
    <t>В.Успенский номидаги РИММ</t>
  </si>
  <si>
    <t>Ўз ДСМИ</t>
  </si>
  <si>
    <t>(минг сўмда)</t>
  </si>
  <si>
    <t>З А Р А Р Л А Р</t>
  </si>
  <si>
    <t>молиялаш-тирилган смета харажатларида кўзда тутилмаган ортиқча харажат</t>
  </si>
  <si>
    <t>кўрсатилмаган   хизматлар  учун   тўланган  пул  маблағлари</t>
  </si>
  <si>
    <t>ғазнадан асоссиз чиқим қилинган пул маблағлари</t>
  </si>
  <si>
    <t>ўтилмаган якка дарс машғулоти учун асоссиз тўланган иш ҳақи</t>
  </si>
  <si>
    <t>интизомий жазоси амалда бўлган ходимларга асоссиз тўланган мукофот пуллари</t>
  </si>
  <si>
    <t xml:space="preserve">иш ҳақи ва унга тенглаштирилган тўловларни кам миқдорда тўланиши </t>
  </si>
  <si>
    <t xml:space="preserve">талабалардан ортиқча ундирилган контракт тўлови </t>
  </si>
  <si>
    <t xml:space="preserve">талабалар томонидан  кам тўланган контракт тўлови </t>
  </si>
  <si>
    <t>молиявий хисоботга нисбатан  Дебитор қарздорлик бўйича тафовут</t>
  </si>
  <si>
    <t>бензин ҳамда дизел ёнилғиси камомади</t>
  </si>
  <si>
    <t>мақсадсиз сарфланган          (не целевое использование) ЁММ</t>
  </si>
  <si>
    <t>бензин махсулотини меъёрдан ортикча сарфланиши</t>
  </si>
  <si>
    <t>Асосий воситаларнинг бухгалтрия хужжатларига киримга олишда аниқланган хатоликлар</t>
  </si>
  <si>
    <t>товар-моддий бойликлар камомади</t>
  </si>
  <si>
    <t>аудит хулосага асосан ундирилган сумма</t>
  </si>
  <si>
    <t xml:space="preserve">аудит текширув  мобайнида ундирилган маблағлар   </t>
  </si>
  <si>
    <t xml:space="preserve">Аниқланган зарар          </t>
  </si>
  <si>
    <t>М А Ъ Л У М О Т</t>
  </si>
  <si>
    <t>Ўзбекистон Республикаси Маданият вазирлиги Ички аудит ва коррупцияга қарши курашиш бўлими ходимлари томонидан</t>
  </si>
  <si>
    <t>2022 йилнинг I-чораги давомида ўтказилган аудит тадбирлари натижасига кўра аниқланган қонун бузилиш холатлари юзасидан</t>
  </si>
  <si>
    <t>Қашқадарё вилоят кўзи ожизлар кутубхонаси</t>
  </si>
  <si>
    <t>Сафар харажати бўйича ортиқча тўловлар</t>
  </si>
  <si>
    <t>Ўзбекистон Давлат филармонияси</t>
  </si>
  <si>
    <t>асоссиз ва мақсадсиз сарфланган          (не целевое использование) ЁММ</t>
  </si>
  <si>
    <t>Ўзбекконцерт</t>
  </si>
  <si>
    <t>Ўзбекистон давлат академик Рус драма театри</t>
  </si>
  <si>
    <t>Ўзбекистон давлат мусиқали комедия (оперетта) театри</t>
  </si>
  <si>
    <t>В.Успенский номидаги республика ихтисослаштирилган мусиқа мактаби</t>
  </si>
  <si>
    <t>Ўзбекистон давлат санъат ва маданият институти</t>
  </si>
  <si>
    <t>Давлат муассасаларида банк корпоратив П/К дан асоссиз олинган махсулотлар</t>
  </si>
  <si>
    <t>Асосий воситларни сотишдан тушган маблағни тегишли бюджетга ўтказмаган қисми</t>
  </si>
  <si>
    <t>Ташкилот томонидан қайтариш шарти билан берилган молиявий ёрдам пулини қайтарилмаган қисми</t>
  </si>
  <si>
    <t>Ташкилот ғазнасига кирим қилинмаган пул маблағлари</t>
  </si>
  <si>
    <t>Ташкилот томонидан мақсадсиз сотиб олинган ортиқча товар моддий бойликлари</t>
  </si>
  <si>
    <t xml:space="preserve">Ўзбекистон Давлат Драма театри </t>
  </si>
  <si>
    <t>Бухоро вилоят драма театри</t>
  </si>
  <si>
    <t>2022 йилнинг 9 ойи давомида ўтказилган аудит тадбирлари натижасига кўра аниқланган қонун бузилиш холатлари юзасидан</t>
  </si>
  <si>
    <t>M A ’ L U M O T</t>
  </si>
  <si>
    <t>(ming so‘mda)</t>
  </si>
  <si>
    <t>T/r</t>
  </si>
  <si>
    <t>Tizimlar nomi</t>
  </si>
  <si>
    <t xml:space="preserve">Aniqlangan zarar          </t>
  </si>
  <si>
    <t>Holat soni</t>
  </si>
  <si>
    <t>Jamlanma hujjatlar (smeta va hisobotlar) orqali ichki auditdan o‘tkazilgan xarajatlar miqdori</t>
  </si>
  <si>
    <t>ZARARLAR</t>
  </si>
  <si>
    <t xml:space="preserve">Audit tekshiruvi mobaynida undirilgan mablag‘lar   </t>
  </si>
  <si>
    <t>Audit xulosasiga asosan undirilgan summa</t>
  </si>
  <si>
    <t>Ish haqi va unga tenglashtirilgan to‘lovlar bo‘yicha asossiz va ortiqcha xarajatlar</t>
  </si>
  <si>
    <t>O‘tilmagan yakka dars mashg‘uloti uchun asossiz to‘langan ish haqi</t>
  </si>
  <si>
    <t>Ish haqi va unga tenglashtirilgan to‘lovlarning kam miqdorda to‘lanishi</t>
  </si>
  <si>
    <t>Intizomiy jazosi amalda bo‘lgan xodimlarga asossiz to‘langan mukofot pullari</t>
  </si>
  <si>
    <t>G‘aznadan asossiz chiqim qilingan pul mablag‘lari</t>
  </si>
  <si>
    <t>Moliyalashtirilgan smeta xarajatlarida ko‘zda tutilmagan ortiqcha xarajat</t>
  </si>
  <si>
    <t>Ko‘rsatilmagan xizmatlar uchun to‘langan pul mablag‘lari</t>
  </si>
  <si>
    <t>Talabalardan ortiqcha undirilgan kontrakt to‘lovi</t>
  </si>
  <si>
    <t xml:space="preserve">Talabalar tomonidan kam to‘langan kontrakt to‘lovi </t>
  </si>
  <si>
    <t>Moliyaviy hisobotga nisbatan debitor qarzdorlik bo‘yicha tafovut</t>
  </si>
  <si>
    <t>Maqsadsiz sarflangan          ("не целевое использование") YoMM</t>
  </si>
  <si>
    <t>Benzin hamda dizel yonilg‘isi kamomadi</t>
  </si>
  <si>
    <t>Benzin mahsulotining me’yoridan ortiqcha sarflanishi</t>
  </si>
  <si>
    <t>Asosiy vositalarning buxgalteriya hujjatlariga kirimga olishda aniqlangan xatoliklar</t>
  </si>
  <si>
    <t>Asosiy vositalarning kamomadi</t>
  </si>
  <si>
    <t>Tovar-moddiy boyliklar kamomadi</t>
  </si>
  <si>
    <t>O‘zbekiston DARDT</t>
  </si>
  <si>
    <t>Operetta teatri</t>
  </si>
  <si>
    <t>Jizzax ixtisoslashtirilgan musiqa maktabi</t>
  </si>
  <si>
    <t>V.Uspenskiy nomidagi RIMM</t>
  </si>
  <si>
    <t>O‘z DSMI</t>
  </si>
  <si>
    <t>Qashqadaryo viloyat ko‘zi ojizlar kutubxonasi</t>
  </si>
  <si>
    <t>O‘zbekiston davlat filarmoniyasi</t>
  </si>
  <si>
    <t>"O‘zbekkonsert" davlat muassasasi</t>
  </si>
  <si>
    <t>Jami</t>
  </si>
  <si>
    <t>2022-yilning 9 oyi davomida o‘tkazilgan audit tadbirlari to‘g‘risida</t>
  </si>
  <si>
    <t>Safar xarajati bo‘yicha ortiqcha to‘lovlar</t>
  </si>
  <si>
    <t>Tashkilot tomonidan qaytarish sharti bilan berilgan moliyaviy yordam pulini qaytarilmagan qismi</t>
  </si>
  <si>
    <t>Asosiy vositlarni sotishdan tushgan mablag‘ni tegishli budjetga o‘tkazmagan qismi</t>
  </si>
  <si>
    <t>Davlat muassasalarida bank korporativ P/K dan asossiz olingan maxsulotlar</t>
  </si>
  <si>
    <t>Tashkilot tomonidan maqsadsiz sotib olingan ortiqcha   tovar moddiy boyliklari</t>
  </si>
  <si>
    <t>Tashkilot g‘aznasiga kirim qilinmagan pul mablag‘lari</t>
  </si>
  <si>
    <t>O‘zbekiston davlat drama teatri</t>
  </si>
  <si>
    <t>Buxoro viloyat drama teatri</t>
  </si>
  <si>
    <t>2022-yilning I-yarim yilligi davomida o‘tkazilgan audit tadbirlari to‘g‘risida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</si>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</sst>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\ _₽_-;\-* #,##0.0\ _₽_-;_-* &quot;-&quot;??\ _₽_-;_-@_-"/>
    <numFmt numFmtId="165" formatCode="_-* #,##0\ _₽_-;\-* #,##0\ _₽_-;_-* &quot;-&quot;??\ _₽_-;_-@_-"/>
    <numFmt numFmtId="166" formatCode="_-* #,##0.0\ _₽_-;\-* #,##0.0\ _₽_-;_-* &quot;-&quot;?\ _₽_-;_-@_-"/>
    <numFmt numFmtId="167" formatCode="0.0"/>
  </numFmts>
  <fonts count="21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i/>
      <sz val="15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5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/>
    </xf>
    <xf numFmtId="164" fontId="1" fillId="0" borderId="0" xfId="0" applyNumberFormat="1" applyFont="1"/>
    <xf numFmtId="165" fontId="1" fillId="0" borderId="0" xfId="0" applyNumberFormat="1" applyFont="1"/>
    <xf numFmtId="164" fontId="1" fillId="0" borderId="5" xfId="1" applyNumberFormat="1" applyFont="1" applyBorder="1" applyAlignment="1">
      <alignment horizontal="center" vertical="center" wrapText="1"/>
    </xf>
    <xf numFmtId="164" fontId="1" fillId="0" borderId="5" xfId="1" applyNumberFormat="1" applyFont="1" applyBorder="1" applyAlignment="1">
      <alignment horizontal="center" vertical="center"/>
    </xf>
    <xf numFmtId="166" fontId="1" fillId="0" borderId="0" xfId="0" applyNumberFormat="1" applyFont="1"/>
    <xf numFmtId="0" fontId="1" fillId="0" borderId="0" xfId="0" applyFont="1" applyAlignment="1">
      <alignment wrapText="1"/>
    </xf>
    <xf numFmtId="164" fontId="2" fillId="0" borderId="1" xfId="1" applyNumberFormat="1" applyFont="1" applyFill="1" applyBorder="1" applyAlignment="1">
      <alignment horizontal="center" vertical="center"/>
    </xf>
    <xf numFmtId="164" fontId="1" fillId="0" borderId="0" xfId="0" applyNumberFormat="1" applyFont="1" applyFill="1"/>
    <xf numFmtId="0" fontId="1" fillId="0" borderId="0" xfId="0" applyFont="1" applyFill="1"/>
    <xf numFmtId="165" fontId="1" fillId="0" borderId="1" xfId="0" applyNumberFormat="1" applyFont="1" applyFill="1" applyBorder="1"/>
    <xf numFmtId="0" fontId="1" fillId="0" borderId="3" xfId="0" applyFont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 applyAlignment="1">
      <alignment horizont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164" fontId="8" fillId="0" borderId="3" xfId="1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164" fontId="8" fillId="0" borderId="3" xfId="1" applyNumberFormat="1" applyFont="1" applyFill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164" fontId="1" fillId="0" borderId="1" xfId="1" applyNumberFormat="1" applyFont="1" applyBorder="1" applyAlignment="1">
      <alignment horizontal="center"/>
    </xf>
    <xf numFmtId="164" fontId="8" fillId="0" borderId="1" xfId="1" applyNumberFormat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center" vertical="center"/>
    </xf>
    <xf numFmtId="164" fontId="1" fillId="0" borderId="5" xfId="1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2" fillId="0" borderId="0" xfId="0" applyFont="1"/>
    <xf numFmtId="0" fontId="12" fillId="0" borderId="0" xfId="0" applyFont="1" applyFill="1"/>
    <xf numFmtId="0" fontId="12" fillId="0" borderId="0" xfId="0" applyFont="1" applyAlignment="1">
      <alignment horizontal="center"/>
    </xf>
    <xf numFmtId="0" fontId="13" fillId="0" borderId="0" xfId="0" applyFont="1"/>
    <xf numFmtId="0" fontId="12" fillId="0" borderId="3" xfId="0" applyFont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164" fontId="4" fillId="0" borderId="1" xfId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12" fillId="0" borderId="1" xfId="1" applyNumberFormat="1" applyFont="1" applyBorder="1" applyAlignment="1">
      <alignment horizontal="center" vertical="center"/>
    </xf>
    <xf numFmtId="164" fontId="12" fillId="0" borderId="3" xfId="1" applyNumberFormat="1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64" fontId="1" fillId="0" borderId="5" xfId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164" fontId="12" fillId="0" borderId="1" xfId="1" applyNumberFormat="1" applyFont="1" applyBorder="1" applyAlignment="1">
      <alignment horizontal="center" vertical="center" wrapText="1"/>
    </xf>
    <xf numFmtId="164" fontId="1" fillId="0" borderId="1" xfId="1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top" wrapText="1"/>
    </xf>
    <xf numFmtId="165" fontId="12" fillId="0" borderId="1" xfId="0" applyNumberFormat="1" applyFont="1" applyFill="1" applyBorder="1"/>
    <xf numFmtId="0" fontId="4" fillId="0" borderId="1" xfId="0" applyFont="1" applyFill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/>
    </xf>
    <xf numFmtId="164" fontId="4" fillId="0" borderId="3" xfId="1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7" fontId="12" fillId="0" borderId="1" xfId="0" applyNumberFormat="1" applyFont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6" fillId="0" borderId="0" xfId="0" applyFont="1" applyFill="1"/>
    <xf numFmtId="0" fontId="10" fillId="0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164" fontId="19" fillId="0" borderId="1" xfId="1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64" fontId="20" fillId="0" borderId="1" xfId="1" applyNumberFormat="1" applyFont="1" applyFill="1" applyBorder="1" applyAlignment="1">
      <alignment horizontal="center" vertical="center"/>
    </xf>
    <xf numFmtId="164" fontId="20" fillId="0" borderId="3" xfId="1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164" fontId="20" fillId="0" borderId="1" xfId="1" applyNumberFormat="1" applyFont="1" applyFill="1" applyBorder="1" applyAlignment="1">
      <alignment horizontal="center" vertical="center" wrapText="1"/>
    </xf>
    <xf numFmtId="164" fontId="10" fillId="0" borderId="5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64" fontId="10" fillId="0" borderId="5" xfId="1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/>
    <xf numFmtId="0" fontId="17" fillId="0" borderId="1" xfId="0" applyFont="1" applyFill="1" applyBorder="1" applyAlignment="1">
      <alignment horizontal="center" vertical="center"/>
    </xf>
    <xf numFmtId="164" fontId="20" fillId="0" borderId="1" xfId="0" applyNumberFormat="1" applyFont="1" applyFill="1" applyBorder="1" applyAlignment="1">
      <alignment horizontal="center"/>
    </xf>
    <xf numFmtId="164" fontId="10" fillId="0" borderId="0" xfId="0" applyNumberFormat="1" applyFont="1" applyFill="1"/>
    <xf numFmtId="165" fontId="10" fillId="0" borderId="0" xfId="0" applyNumberFormat="1" applyFont="1" applyFill="1"/>
    <xf numFmtId="166" fontId="10" fillId="0" borderId="0" xfId="0" applyNumberFormat="1" applyFont="1" applyFill="1"/>
    <xf numFmtId="164" fontId="10" fillId="0" borderId="0" xfId="0" applyNumberFormat="1" applyFont="1" applyFill="1" applyAlignment="1">
      <alignment wrapText="1"/>
    </xf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0066"/>
      <color rgb="FFFF66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5"/>
  <sheetViews>
    <sheetView topLeftCell="E1" zoomScale="70" zoomScaleNormal="70" workbookViewId="0">
      <selection activeCell="T7" sqref="T7:T8"/>
    </sheetView>
  </sheetViews>
  <sheetFormatPr defaultRowHeight="18.75" x14ac:dyDescent="0.3"/>
  <cols>
    <col min="1" max="1" width="6.140625" style="1" customWidth="1"/>
    <col min="2" max="2" width="55.140625" style="1" customWidth="1"/>
    <col min="3" max="3" width="20.7109375" style="1" customWidth="1"/>
    <col min="4" max="4" width="10.5703125" style="1" customWidth="1"/>
    <col min="5" max="5" width="22.28515625" style="1" customWidth="1"/>
    <col min="6" max="6" width="23.140625" style="1" customWidth="1"/>
    <col min="7" max="7" width="18.42578125" style="1" customWidth="1"/>
    <col min="8" max="8" width="21.42578125" style="1" customWidth="1"/>
    <col min="9" max="9" width="22.140625" style="1" customWidth="1"/>
    <col min="10" max="10" width="16.42578125" style="1" customWidth="1"/>
    <col min="11" max="11" width="18.5703125" style="1" customWidth="1"/>
    <col min="12" max="12" width="18.28515625" style="1" customWidth="1"/>
    <col min="13" max="13" width="16.85546875" style="1" customWidth="1"/>
    <col min="14" max="14" width="15.85546875" style="1" customWidth="1"/>
    <col min="15" max="15" width="17.140625" style="1" customWidth="1"/>
    <col min="16" max="16" width="19.42578125" style="1" customWidth="1"/>
    <col min="17" max="17" width="17.42578125" style="1" customWidth="1"/>
    <col min="18" max="20" width="19.28515625" style="1" customWidth="1"/>
    <col min="21" max="21" width="20.140625" style="1" customWidth="1"/>
    <col min="22" max="22" width="14.5703125" style="1" customWidth="1"/>
    <col min="23" max="23" width="17.28515625" style="1" customWidth="1"/>
    <col min="24" max="24" width="16.85546875" style="1" customWidth="1"/>
    <col min="25" max="16384" width="9.140625" style="1"/>
  </cols>
  <sheetData>
    <row r="2" spans="1:25" ht="20.25" x14ac:dyDescent="0.3">
      <c r="A2" s="98" t="s">
        <v>33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</row>
    <row r="3" spans="1:25" ht="20.25" x14ac:dyDescent="0.3">
      <c r="A3" s="98" t="s">
        <v>34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</row>
    <row r="4" spans="1:25" ht="20.25" x14ac:dyDescent="0.3">
      <c r="A4" s="98" t="s">
        <v>32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</row>
    <row r="5" spans="1:25" ht="19.5" x14ac:dyDescent="0.3">
      <c r="E5" s="2"/>
      <c r="V5" s="15" t="s">
        <v>13</v>
      </c>
    </row>
    <row r="6" spans="1:25" ht="28.5" customHeight="1" x14ac:dyDescent="0.3">
      <c r="A6" s="86" t="s">
        <v>0</v>
      </c>
      <c r="B6" s="89" t="s">
        <v>2</v>
      </c>
      <c r="C6" s="86" t="s">
        <v>31</v>
      </c>
      <c r="D6" s="86" t="s">
        <v>1</v>
      </c>
      <c r="E6" s="92" t="s">
        <v>4</v>
      </c>
      <c r="F6" s="96" t="s">
        <v>14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5" t="s">
        <v>30</v>
      </c>
      <c r="X6" s="95" t="s">
        <v>29</v>
      </c>
    </row>
    <row r="7" spans="1:25" ht="18.75" customHeight="1" x14ac:dyDescent="0.3">
      <c r="A7" s="87"/>
      <c r="B7" s="90"/>
      <c r="C7" s="87"/>
      <c r="D7" s="87"/>
      <c r="E7" s="93"/>
      <c r="F7" s="95" t="s">
        <v>3</v>
      </c>
      <c r="G7" s="86" t="s">
        <v>18</v>
      </c>
      <c r="H7" s="95" t="s">
        <v>20</v>
      </c>
      <c r="I7" s="86" t="s">
        <v>19</v>
      </c>
      <c r="J7" s="86" t="s">
        <v>17</v>
      </c>
      <c r="K7" s="86" t="s">
        <v>15</v>
      </c>
      <c r="L7" s="86" t="s">
        <v>16</v>
      </c>
      <c r="M7" s="86" t="s">
        <v>21</v>
      </c>
      <c r="N7" s="86" t="s">
        <v>22</v>
      </c>
      <c r="O7" s="86" t="s">
        <v>23</v>
      </c>
      <c r="P7" s="86" t="s">
        <v>25</v>
      </c>
      <c r="Q7" s="86" t="s">
        <v>24</v>
      </c>
      <c r="R7" s="86" t="s">
        <v>26</v>
      </c>
      <c r="S7" s="86" t="s">
        <v>27</v>
      </c>
      <c r="T7" s="86" t="s">
        <v>36</v>
      </c>
      <c r="U7" s="86" t="s">
        <v>5</v>
      </c>
      <c r="V7" s="86" t="s">
        <v>28</v>
      </c>
      <c r="W7" s="95"/>
      <c r="X7" s="95"/>
    </row>
    <row r="8" spans="1:25" ht="142.5" customHeight="1" x14ac:dyDescent="0.3">
      <c r="A8" s="88"/>
      <c r="B8" s="91"/>
      <c r="C8" s="88"/>
      <c r="D8" s="88"/>
      <c r="E8" s="94"/>
      <c r="F8" s="95"/>
      <c r="G8" s="88"/>
      <c r="H8" s="95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95"/>
      <c r="X8" s="95"/>
    </row>
    <row r="9" spans="1:25" s="18" customFormat="1" ht="24.95" customHeight="1" x14ac:dyDescent="0.25">
      <c r="A9" s="14">
        <v>1</v>
      </c>
      <c r="B9" s="17" t="s">
        <v>8</v>
      </c>
      <c r="C9" s="25">
        <f t="shared" ref="C9:C13" si="0">+SUM(F9:V9)</f>
        <v>30066.400000000001</v>
      </c>
      <c r="D9" s="26">
        <f>4+1+1+5+2+1</f>
        <v>14</v>
      </c>
      <c r="E9" s="20">
        <f>5335048+5823757+6092158.8</f>
        <v>17250963.800000001</v>
      </c>
      <c r="F9" s="20">
        <f>10322.4+127.4+448.8+2355.1+150</f>
        <v>13403.699999999999</v>
      </c>
      <c r="G9" s="21"/>
      <c r="H9" s="21"/>
      <c r="I9" s="21"/>
      <c r="J9" s="21"/>
      <c r="K9" s="24">
        <v>16443.3</v>
      </c>
      <c r="L9" s="20">
        <v>219.4</v>
      </c>
      <c r="M9" s="20"/>
      <c r="N9" s="20"/>
      <c r="O9" s="22"/>
      <c r="P9" s="22"/>
      <c r="Q9" s="22"/>
      <c r="R9" s="22"/>
      <c r="S9" s="22"/>
      <c r="T9" s="22"/>
      <c r="U9" s="23"/>
      <c r="V9" s="22"/>
      <c r="W9" s="23">
        <v>4224</v>
      </c>
      <c r="X9" s="6"/>
    </row>
    <row r="10" spans="1:25" s="18" customFormat="1" ht="24.95" customHeight="1" x14ac:dyDescent="0.25">
      <c r="A10" s="14">
        <f>+A9+1</f>
        <v>2</v>
      </c>
      <c r="B10" s="3" t="s">
        <v>9</v>
      </c>
      <c r="C10" s="25">
        <f t="shared" si="0"/>
        <v>6514.1</v>
      </c>
      <c r="D10" s="26">
        <v>4</v>
      </c>
      <c r="E10" s="20">
        <f>6634578+6833644+8089121</f>
        <v>21557343</v>
      </c>
      <c r="F10" s="20">
        <v>4316.1000000000004</v>
      </c>
      <c r="G10" s="21"/>
      <c r="H10" s="21"/>
      <c r="I10" s="21"/>
      <c r="J10" s="21"/>
      <c r="K10" s="22"/>
      <c r="L10" s="20"/>
      <c r="M10" s="20"/>
      <c r="N10" s="20"/>
      <c r="O10" s="22"/>
      <c r="P10" s="22"/>
      <c r="Q10" s="22"/>
      <c r="R10" s="22"/>
      <c r="S10" s="23">
        <v>2198</v>
      </c>
      <c r="T10" s="23"/>
      <c r="U10" s="23"/>
      <c r="V10" s="22"/>
      <c r="W10" s="23"/>
      <c r="X10" s="6"/>
    </row>
    <row r="11" spans="1:25" s="18" customFormat="1" ht="24.95" customHeight="1" x14ac:dyDescent="0.3">
      <c r="A11" s="14">
        <f t="shared" ref="A11:A13" si="1">+A10+1</f>
        <v>3</v>
      </c>
      <c r="B11" s="3" t="s">
        <v>10</v>
      </c>
      <c r="C11" s="25">
        <f t="shared" si="0"/>
        <v>149294</v>
      </c>
      <c r="D11" s="26">
        <f>1+14+14+25+23</f>
        <v>77</v>
      </c>
      <c r="E11" s="20">
        <v>7461667</v>
      </c>
      <c r="F11" s="20">
        <v>143525.79999999999</v>
      </c>
      <c r="G11" s="21"/>
      <c r="H11" s="21"/>
      <c r="I11" s="21"/>
      <c r="J11" s="21"/>
      <c r="K11" s="22"/>
      <c r="L11" s="20"/>
      <c r="M11" s="20"/>
      <c r="N11" s="20"/>
      <c r="O11" s="22"/>
      <c r="P11" s="22"/>
      <c r="Q11" s="22"/>
      <c r="R11" s="22"/>
      <c r="S11" s="22"/>
      <c r="T11" s="22"/>
      <c r="U11" s="31">
        <v>5520</v>
      </c>
      <c r="V11" s="30">
        <v>248.2</v>
      </c>
      <c r="W11" s="20"/>
      <c r="X11" s="7"/>
    </row>
    <row r="12" spans="1:25" s="18" customFormat="1" ht="24.95" customHeight="1" x14ac:dyDescent="0.25">
      <c r="A12" s="14">
        <f t="shared" si="1"/>
        <v>4</v>
      </c>
      <c r="B12" s="3" t="s">
        <v>11</v>
      </c>
      <c r="C12" s="25">
        <f t="shared" si="0"/>
        <v>1414425</v>
      </c>
      <c r="D12" s="26">
        <v>176</v>
      </c>
      <c r="E12" s="20">
        <f>10704314.6+14957784.1</f>
        <v>25662098.699999999</v>
      </c>
      <c r="F12" s="20">
        <v>370148.9</v>
      </c>
      <c r="G12" s="21"/>
      <c r="H12" s="21">
        <v>22325.1</v>
      </c>
      <c r="I12" s="21"/>
      <c r="J12" s="21"/>
      <c r="K12" s="22"/>
      <c r="L12" s="20"/>
      <c r="M12" s="24"/>
      <c r="N12" s="24"/>
      <c r="O12" s="24"/>
      <c r="P12" s="24"/>
      <c r="Q12" s="24"/>
      <c r="R12" s="24"/>
      <c r="S12" s="24"/>
      <c r="T12" s="24"/>
      <c r="U12" s="20">
        <v>1021951</v>
      </c>
      <c r="V12" s="22"/>
      <c r="W12" s="20">
        <v>16.399999999999999</v>
      </c>
      <c r="X12" s="7"/>
    </row>
    <row r="13" spans="1:25" s="18" customFormat="1" ht="24.95" customHeight="1" x14ac:dyDescent="0.25">
      <c r="A13" s="14">
        <f t="shared" si="1"/>
        <v>5</v>
      </c>
      <c r="B13" s="3" t="s">
        <v>12</v>
      </c>
      <c r="C13" s="25">
        <f t="shared" si="0"/>
        <v>191269.7</v>
      </c>
      <c r="D13" s="26">
        <f>4+6+14</f>
        <v>24</v>
      </c>
      <c r="E13" s="20"/>
      <c r="F13" s="20"/>
      <c r="G13" s="24">
        <v>57718.9</v>
      </c>
      <c r="H13" s="24">
        <f>16332.8+24147+4131.1</f>
        <v>44610.9</v>
      </c>
      <c r="I13" s="24">
        <v>31782</v>
      </c>
      <c r="J13" s="24">
        <v>1101.2</v>
      </c>
      <c r="K13" s="22"/>
      <c r="L13" s="20"/>
      <c r="M13" s="24">
        <f>952.3+4902.8</f>
        <v>5855.1</v>
      </c>
      <c r="N13" s="24">
        <f>6122.2+5685.5</f>
        <v>11807.7</v>
      </c>
      <c r="O13" s="24">
        <f>2835.3+8998.2+2619.6</f>
        <v>14453.1</v>
      </c>
      <c r="P13" s="24">
        <f>8097.7+3006.4</f>
        <v>11104.1</v>
      </c>
      <c r="Q13" s="24">
        <f>764.8+878.1+4874.9+2571.1</f>
        <v>9088.9</v>
      </c>
      <c r="R13" s="24">
        <f>283.6+993.8+2470.4</f>
        <v>3747.8</v>
      </c>
      <c r="S13" s="24"/>
      <c r="T13" s="24"/>
      <c r="U13" s="20"/>
      <c r="V13" s="22"/>
      <c r="W13" s="20"/>
      <c r="X13" s="7"/>
    </row>
    <row r="14" spans="1:25" s="18" customFormat="1" ht="24.95" customHeight="1" x14ac:dyDescent="0.25">
      <c r="A14" s="14">
        <v>6</v>
      </c>
      <c r="B14" s="3" t="s">
        <v>35</v>
      </c>
      <c r="C14" s="25">
        <f>+SUM(F14:V14)</f>
        <v>15152.4</v>
      </c>
      <c r="D14" s="26">
        <v>5</v>
      </c>
      <c r="E14" s="20"/>
      <c r="F14" s="20"/>
      <c r="G14" s="24"/>
      <c r="H14" s="24">
        <f>170.3+1310.1</f>
        <v>1480.3999999999999</v>
      </c>
      <c r="I14" s="24"/>
      <c r="J14" s="24"/>
      <c r="K14" s="22"/>
      <c r="L14" s="20"/>
      <c r="M14" s="24"/>
      <c r="N14" s="24"/>
      <c r="O14" s="24"/>
      <c r="P14" s="24"/>
      <c r="Q14" s="24"/>
      <c r="R14" s="24"/>
      <c r="S14" s="24"/>
      <c r="T14" s="24">
        <f>1782+10918+972</f>
        <v>13672</v>
      </c>
      <c r="U14" s="20"/>
      <c r="V14" s="22"/>
      <c r="W14" s="24">
        <f>10918+972</f>
        <v>11890</v>
      </c>
      <c r="X14" s="7"/>
    </row>
    <row r="15" spans="1:25" s="12" customFormat="1" ht="26.25" customHeight="1" x14ac:dyDescent="0.3">
      <c r="A15" s="13"/>
      <c r="B15" s="19" t="s">
        <v>6</v>
      </c>
      <c r="C15" s="27">
        <f>+SUM(F15:V15)</f>
        <v>1806721.5999999999</v>
      </c>
      <c r="D15" s="28" t="s">
        <v>7</v>
      </c>
      <c r="E15" s="29" t="s">
        <v>7</v>
      </c>
      <c r="F15" s="27">
        <f t="shared" ref="F15:S15" si="2">+SUM(F9:F14)</f>
        <v>531394.5</v>
      </c>
      <c r="G15" s="27">
        <f t="shared" si="2"/>
        <v>57718.9</v>
      </c>
      <c r="H15" s="27">
        <f t="shared" si="2"/>
        <v>68416.399999999994</v>
      </c>
      <c r="I15" s="27">
        <f t="shared" si="2"/>
        <v>31782</v>
      </c>
      <c r="J15" s="27">
        <f t="shared" si="2"/>
        <v>1101.2</v>
      </c>
      <c r="K15" s="27">
        <f t="shared" si="2"/>
        <v>16443.3</v>
      </c>
      <c r="L15" s="27">
        <f t="shared" si="2"/>
        <v>219.4</v>
      </c>
      <c r="M15" s="27">
        <f t="shared" si="2"/>
        <v>5855.1</v>
      </c>
      <c r="N15" s="27">
        <f t="shared" si="2"/>
        <v>11807.7</v>
      </c>
      <c r="O15" s="27">
        <f t="shared" si="2"/>
        <v>14453.1</v>
      </c>
      <c r="P15" s="27">
        <f t="shared" si="2"/>
        <v>11104.1</v>
      </c>
      <c r="Q15" s="27">
        <f t="shared" si="2"/>
        <v>9088.9</v>
      </c>
      <c r="R15" s="27">
        <f t="shared" si="2"/>
        <v>3747.8</v>
      </c>
      <c r="S15" s="27">
        <f t="shared" si="2"/>
        <v>2198</v>
      </c>
      <c r="T15" s="27">
        <f>+SUM(T9:T14)</f>
        <v>13672</v>
      </c>
      <c r="U15" s="27">
        <f t="shared" ref="U15:W15" si="3">+SUM(U9:U14)</f>
        <v>1027471</v>
      </c>
      <c r="V15" s="27">
        <f t="shared" si="3"/>
        <v>248.2</v>
      </c>
      <c r="W15" s="27">
        <f t="shared" si="3"/>
        <v>16130.4</v>
      </c>
      <c r="X15" s="10">
        <f t="shared" ref="X15" si="4">+SUM(X9:X13)</f>
        <v>0</v>
      </c>
      <c r="Y15" s="11"/>
    </row>
    <row r="16" spans="1:25" x14ac:dyDescent="0.3">
      <c r="A16" s="5"/>
    </row>
    <row r="17" spans="3:17" x14ac:dyDescent="0.3">
      <c r="F17" s="8"/>
      <c r="G17" s="8"/>
      <c r="H17" s="8"/>
      <c r="I17" s="8"/>
      <c r="J17" s="8"/>
      <c r="Q17" s="8"/>
    </row>
    <row r="18" spans="3:17" x14ac:dyDescent="0.3">
      <c r="C18" s="4"/>
      <c r="H18" s="9"/>
      <c r="I18" s="16"/>
    </row>
    <row r="19" spans="3:17" x14ac:dyDescent="0.3">
      <c r="H19" s="9"/>
      <c r="I19" s="16"/>
    </row>
    <row r="20" spans="3:17" x14ac:dyDescent="0.3">
      <c r="H20" s="9"/>
      <c r="I20" s="16"/>
      <c r="K20" s="8"/>
    </row>
    <row r="21" spans="3:17" x14ac:dyDescent="0.3">
      <c r="H21" s="9"/>
      <c r="I21" s="16"/>
    </row>
    <row r="22" spans="3:17" x14ac:dyDescent="0.3">
      <c r="H22" s="9"/>
      <c r="I22" s="16"/>
    </row>
    <row r="25" spans="3:17" x14ac:dyDescent="0.3">
      <c r="C25" s="8"/>
    </row>
  </sheetData>
  <mergeCells count="28">
    <mergeCell ref="A2:X2"/>
    <mergeCell ref="A3:X3"/>
    <mergeCell ref="A4:X4"/>
    <mergeCell ref="G7:G8"/>
    <mergeCell ref="I7:I8"/>
    <mergeCell ref="X6:X8"/>
    <mergeCell ref="M7:M8"/>
    <mergeCell ref="N7:N8"/>
    <mergeCell ref="O7:O8"/>
    <mergeCell ref="P7:P8"/>
    <mergeCell ref="Q7:Q8"/>
    <mergeCell ref="R7:R8"/>
    <mergeCell ref="U7:U8"/>
    <mergeCell ref="V7:V8"/>
    <mergeCell ref="J7:J8"/>
    <mergeCell ref="K7:K8"/>
    <mergeCell ref="W6:W8"/>
    <mergeCell ref="F6:V6"/>
    <mergeCell ref="S7:S8"/>
    <mergeCell ref="H7:H8"/>
    <mergeCell ref="L7:L8"/>
    <mergeCell ref="F7:F8"/>
    <mergeCell ref="T7:T8"/>
    <mergeCell ref="A6:A8"/>
    <mergeCell ref="B6:B8"/>
    <mergeCell ref="C6:C8"/>
    <mergeCell ref="D6:D8"/>
    <mergeCell ref="E6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29"/>
  <sheetViews>
    <sheetView zoomScale="70" zoomScaleNormal="70" workbookViewId="0">
      <pane xSplit="3" topLeftCell="D1" activePane="topRight" state="frozen"/>
      <selection pane="topRight" activeCell="P11" sqref="P11"/>
    </sheetView>
  </sheetViews>
  <sheetFormatPr defaultRowHeight="18.75" x14ac:dyDescent="0.3"/>
  <cols>
    <col min="1" max="1" width="6.140625" style="63" customWidth="1"/>
    <col min="2" max="2" width="55.140625" style="63" customWidth="1"/>
    <col min="3" max="3" width="20.7109375" style="63" customWidth="1"/>
    <col min="4" max="4" width="15.5703125" style="63" bestFit="1" customWidth="1"/>
    <col min="5" max="5" width="22.28515625" style="63" customWidth="1"/>
    <col min="6" max="6" width="23.140625" style="63" customWidth="1"/>
    <col min="7" max="7" width="18.42578125" style="63" customWidth="1"/>
    <col min="8" max="8" width="21.42578125" style="63" customWidth="1"/>
    <col min="9" max="10" width="22.140625" style="63" customWidth="1"/>
    <col min="11" max="11" width="16.42578125" style="63" customWidth="1"/>
    <col min="12" max="12" width="18.5703125" style="63" customWidth="1"/>
    <col min="13" max="13" width="19.5703125" style="63" customWidth="1"/>
    <col min="14" max="15" width="18.28515625" style="63" customWidth="1"/>
    <col min="16" max="16" width="16.85546875" style="63" customWidth="1"/>
    <col min="17" max="17" width="15.85546875" style="63" customWidth="1"/>
    <col min="18" max="18" width="17.140625" style="63" customWidth="1"/>
    <col min="19" max="19" width="19.42578125" style="63" customWidth="1"/>
    <col min="20" max="20" width="17.42578125" style="63" customWidth="1"/>
    <col min="21" max="25" width="19.28515625" style="63" customWidth="1"/>
    <col min="26" max="26" width="20.140625" style="63" customWidth="1"/>
    <col min="27" max="27" width="14.5703125" style="63" customWidth="1"/>
    <col min="28" max="28" width="17.28515625" style="63" customWidth="1"/>
    <col min="29" max="29" width="16.85546875" style="63" customWidth="1"/>
    <col min="30" max="16384" width="9.140625" style="63"/>
  </cols>
  <sheetData>
    <row r="2" spans="1:29" ht="20.25" x14ac:dyDescent="0.3">
      <c r="A2" s="99" t="s">
        <v>33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</row>
    <row r="3" spans="1:29" ht="20.25" x14ac:dyDescent="0.3">
      <c r="A3" s="99" t="s">
        <v>51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</row>
    <row r="4" spans="1:29" ht="20.25" x14ac:dyDescent="0.3">
      <c r="A4" s="99" t="s">
        <v>32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</row>
    <row r="5" spans="1:29" ht="19.5" x14ac:dyDescent="0.3">
      <c r="E5" s="64"/>
      <c r="AA5" s="65" t="s">
        <v>13</v>
      </c>
    </row>
    <row r="6" spans="1:29" ht="25.5" customHeight="1" x14ac:dyDescent="0.3">
      <c r="A6" s="100" t="s">
        <v>0</v>
      </c>
      <c r="B6" s="103" t="s">
        <v>2</v>
      </c>
      <c r="C6" s="100" t="s">
        <v>31</v>
      </c>
      <c r="D6" s="100" t="s">
        <v>1</v>
      </c>
      <c r="E6" s="106" t="s">
        <v>4</v>
      </c>
      <c r="F6" s="109" t="s">
        <v>14</v>
      </c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1" t="s">
        <v>30</v>
      </c>
      <c r="AC6" s="111" t="s">
        <v>29</v>
      </c>
    </row>
    <row r="7" spans="1:29" ht="35.25" customHeight="1" x14ac:dyDescent="0.3">
      <c r="A7" s="101"/>
      <c r="B7" s="104"/>
      <c r="C7" s="101"/>
      <c r="D7" s="101"/>
      <c r="E7" s="107"/>
      <c r="F7" s="111" t="s">
        <v>3</v>
      </c>
      <c r="G7" s="100" t="s">
        <v>18</v>
      </c>
      <c r="H7" s="111" t="s">
        <v>20</v>
      </c>
      <c r="I7" s="100" t="s">
        <v>19</v>
      </c>
      <c r="J7" s="100" t="s">
        <v>47</v>
      </c>
      <c r="K7" s="100" t="s">
        <v>17</v>
      </c>
      <c r="L7" s="100" t="s">
        <v>15</v>
      </c>
      <c r="M7" s="100" t="s">
        <v>16</v>
      </c>
      <c r="N7" s="100" t="s">
        <v>45</v>
      </c>
      <c r="O7" s="100" t="s">
        <v>46</v>
      </c>
      <c r="P7" s="100" t="s">
        <v>21</v>
      </c>
      <c r="Q7" s="100" t="s">
        <v>22</v>
      </c>
      <c r="R7" s="100" t="s">
        <v>23</v>
      </c>
      <c r="S7" s="100" t="s">
        <v>38</v>
      </c>
      <c r="T7" s="100" t="s">
        <v>24</v>
      </c>
      <c r="U7" s="100" t="s">
        <v>26</v>
      </c>
      <c r="V7" s="100" t="s">
        <v>27</v>
      </c>
      <c r="W7" s="100" t="s">
        <v>36</v>
      </c>
      <c r="X7" s="100" t="s">
        <v>44</v>
      </c>
      <c r="Y7" s="100" t="s">
        <v>48</v>
      </c>
      <c r="Z7" s="100" t="s">
        <v>5</v>
      </c>
      <c r="AA7" s="100" t="s">
        <v>28</v>
      </c>
      <c r="AB7" s="111"/>
      <c r="AC7" s="111"/>
    </row>
    <row r="8" spans="1:29" ht="131.25" customHeight="1" x14ac:dyDescent="0.3">
      <c r="A8" s="102"/>
      <c r="B8" s="105"/>
      <c r="C8" s="102"/>
      <c r="D8" s="102"/>
      <c r="E8" s="108"/>
      <c r="F8" s="111"/>
      <c r="G8" s="102"/>
      <c r="H8" s="111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11"/>
      <c r="AC8" s="111"/>
    </row>
    <row r="9" spans="1:29" s="67" customFormat="1" ht="19.5" x14ac:dyDescent="0.25">
      <c r="A9" s="66">
        <v>1</v>
      </c>
      <c r="B9" s="67" t="s">
        <v>40</v>
      </c>
      <c r="C9" s="68">
        <f t="shared" ref="C9:C12" si="0">+SUM(F9:AA9)</f>
        <v>30066.400000000001</v>
      </c>
      <c r="D9" s="69">
        <f>4+1+1+5+2+1</f>
        <v>14</v>
      </c>
      <c r="E9" s="70">
        <f>5335048+5823757+6092158.8</f>
        <v>17250963.800000001</v>
      </c>
      <c r="F9" s="70">
        <f>10322.4+127.4+448.8+2355.1+150</f>
        <v>13403.699999999999</v>
      </c>
      <c r="G9" s="71"/>
      <c r="H9" s="71"/>
      <c r="I9" s="71"/>
      <c r="J9" s="71"/>
      <c r="K9" s="71"/>
      <c r="L9" s="71">
        <v>16443.3</v>
      </c>
      <c r="M9" s="70">
        <v>219.4</v>
      </c>
      <c r="N9" s="70"/>
      <c r="O9" s="70"/>
      <c r="P9" s="70"/>
      <c r="Q9" s="70"/>
      <c r="R9" s="72"/>
      <c r="S9" s="72"/>
      <c r="T9" s="72"/>
      <c r="U9" s="72"/>
      <c r="V9" s="72"/>
      <c r="W9" s="72"/>
      <c r="X9" s="72"/>
      <c r="Y9" s="72"/>
      <c r="Z9" s="73"/>
      <c r="AA9" s="72"/>
      <c r="AB9" s="73">
        <v>4224</v>
      </c>
      <c r="AC9" s="74"/>
    </row>
    <row r="10" spans="1:29" s="67" customFormat="1" ht="37.5" x14ac:dyDescent="0.25">
      <c r="A10" s="66">
        <f>+A9+1</f>
        <v>2</v>
      </c>
      <c r="B10" s="75" t="s">
        <v>41</v>
      </c>
      <c r="C10" s="68">
        <f t="shared" si="0"/>
        <v>6514.1</v>
      </c>
      <c r="D10" s="69">
        <v>4</v>
      </c>
      <c r="E10" s="70">
        <f>6634578+6833644+8089121</f>
        <v>21557343</v>
      </c>
      <c r="F10" s="70">
        <v>4316.1000000000004</v>
      </c>
      <c r="G10" s="71"/>
      <c r="H10" s="71"/>
      <c r="I10" s="71"/>
      <c r="J10" s="71"/>
      <c r="K10" s="71"/>
      <c r="L10" s="72"/>
      <c r="M10" s="70"/>
      <c r="N10" s="70"/>
      <c r="O10" s="70"/>
      <c r="P10" s="70"/>
      <c r="Q10" s="70"/>
      <c r="R10" s="72"/>
      <c r="S10" s="72"/>
      <c r="T10" s="72"/>
      <c r="U10" s="72"/>
      <c r="V10" s="73">
        <v>2198</v>
      </c>
      <c r="W10" s="73"/>
      <c r="X10" s="73"/>
      <c r="Y10" s="73"/>
      <c r="Z10" s="73"/>
      <c r="AA10" s="72"/>
      <c r="AB10" s="73"/>
      <c r="AC10" s="74"/>
    </row>
    <row r="11" spans="1:29" s="67" customFormat="1" ht="22.5" customHeight="1" x14ac:dyDescent="0.25">
      <c r="A11" s="66">
        <f t="shared" ref="A11:A13" si="1">+A10+1</f>
        <v>3</v>
      </c>
      <c r="B11" s="62" t="s">
        <v>10</v>
      </c>
      <c r="C11" s="68">
        <f t="shared" si="0"/>
        <v>149294</v>
      </c>
      <c r="D11" s="69">
        <f>1+14+14+25+23</f>
        <v>77</v>
      </c>
      <c r="E11" s="70">
        <v>7461667</v>
      </c>
      <c r="F11" s="70">
        <v>143525.79999999999</v>
      </c>
      <c r="G11" s="71"/>
      <c r="H11" s="71"/>
      <c r="I11" s="71"/>
      <c r="J11" s="71"/>
      <c r="K11" s="71"/>
      <c r="L11" s="72"/>
      <c r="M11" s="70"/>
      <c r="N11" s="70"/>
      <c r="O11" s="70"/>
      <c r="P11" s="70"/>
      <c r="Q11" s="70"/>
      <c r="R11" s="72"/>
      <c r="S11" s="72"/>
      <c r="T11" s="72"/>
      <c r="U11" s="72"/>
      <c r="V11" s="72"/>
      <c r="W11" s="72"/>
      <c r="X11" s="72"/>
      <c r="Y11" s="72"/>
      <c r="Z11" s="70">
        <v>5520</v>
      </c>
      <c r="AA11" s="70">
        <v>248.2</v>
      </c>
      <c r="AB11" s="70"/>
      <c r="AC11" s="76"/>
    </row>
    <row r="12" spans="1:29" s="67" customFormat="1" ht="37.5" x14ac:dyDescent="0.25">
      <c r="A12" s="66">
        <f t="shared" si="1"/>
        <v>4</v>
      </c>
      <c r="B12" s="75" t="s">
        <v>42</v>
      </c>
      <c r="C12" s="68">
        <f t="shared" si="0"/>
        <v>1414425</v>
      </c>
      <c r="D12" s="69">
        <v>176</v>
      </c>
      <c r="E12" s="70">
        <f>10704314.6+14957784.1</f>
        <v>25662098.699999999</v>
      </c>
      <c r="F12" s="70">
        <v>370148.9</v>
      </c>
      <c r="G12" s="71"/>
      <c r="H12" s="71">
        <v>22325.1</v>
      </c>
      <c r="I12" s="71"/>
      <c r="J12" s="71"/>
      <c r="K12" s="71"/>
      <c r="L12" s="72"/>
      <c r="M12" s="70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0">
        <v>1021951</v>
      </c>
      <c r="AA12" s="72"/>
      <c r="AB12" s="70">
        <v>16400</v>
      </c>
      <c r="AC12" s="76"/>
    </row>
    <row r="13" spans="1:29" s="67" customFormat="1" ht="37.5" x14ac:dyDescent="0.25">
      <c r="A13" s="66">
        <f t="shared" si="1"/>
        <v>5</v>
      </c>
      <c r="B13" s="75" t="s">
        <v>43</v>
      </c>
      <c r="C13" s="68">
        <f>+SUM(F13:AA13)</f>
        <v>191269.7</v>
      </c>
      <c r="D13" s="69">
        <f>4+6+14</f>
        <v>24</v>
      </c>
      <c r="E13" s="70"/>
      <c r="F13" s="70"/>
      <c r="G13" s="71">
        <v>57718.9</v>
      </c>
      <c r="H13" s="71">
        <f>16332.8+24147+4131.1</f>
        <v>44610.9</v>
      </c>
      <c r="I13" s="71">
        <v>31782</v>
      </c>
      <c r="J13" s="71"/>
      <c r="K13" s="71">
        <v>1101.2</v>
      </c>
      <c r="L13" s="72"/>
      <c r="M13" s="70"/>
      <c r="N13" s="71"/>
      <c r="O13" s="71"/>
      <c r="P13" s="71">
        <f>952.3+4902.8</f>
        <v>5855.1</v>
      </c>
      <c r="Q13" s="71">
        <f>6122.2+5685.5</f>
        <v>11807.7</v>
      </c>
      <c r="R13" s="71">
        <f>2835.3+8998.2+2619.6</f>
        <v>14453.1</v>
      </c>
      <c r="S13" s="71">
        <f>8097.7+3006.4</f>
        <v>11104.1</v>
      </c>
      <c r="T13" s="71">
        <f>764.8+878.1+4874.9+2571.1</f>
        <v>9088.9</v>
      </c>
      <c r="U13" s="71">
        <f>283.6+993.8+2470.4</f>
        <v>3747.8</v>
      </c>
      <c r="V13" s="71"/>
      <c r="W13" s="71"/>
      <c r="X13" s="71"/>
      <c r="Y13" s="71"/>
      <c r="Z13" s="70"/>
      <c r="AA13" s="72"/>
      <c r="AB13" s="70"/>
      <c r="AC13" s="76"/>
    </row>
    <row r="14" spans="1:29" s="67" customFormat="1" ht="19.5" x14ac:dyDescent="0.25">
      <c r="A14" s="66">
        <v>6</v>
      </c>
      <c r="B14" s="62" t="s">
        <v>35</v>
      </c>
      <c r="C14" s="68">
        <f>+SUM(F14:AA14)</f>
        <v>15152.4</v>
      </c>
      <c r="D14" s="69">
        <v>5</v>
      </c>
      <c r="E14" s="70"/>
      <c r="F14" s="70"/>
      <c r="G14" s="71"/>
      <c r="H14" s="71">
        <f>170.3+1310.1</f>
        <v>1480.3999999999999</v>
      </c>
      <c r="I14" s="71"/>
      <c r="J14" s="71"/>
      <c r="K14" s="71"/>
      <c r="L14" s="72"/>
      <c r="M14" s="70"/>
      <c r="N14" s="71"/>
      <c r="O14" s="71"/>
      <c r="P14" s="71"/>
      <c r="Q14" s="71"/>
      <c r="R14" s="71"/>
      <c r="S14" s="71"/>
      <c r="T14" s="71"/>
      <c r="U14" s="71"/>
      <c r="V14" s="71"/>
      <c r="W14" s="71">
        <f>1782+10918+972</f>
        <v>13672</v>
      </c>
      <c r="X14" s="71"/>
      <c r="Y14" s="71"/>
      <c r="Z14" s="70"/>
      <c r="AA14" s="72"/>
      <c r="AB14" s="71">
        <f>10918+972</f>
        <v>11890</v>
      </c>
      <c r="AC14" s="76"/>
    </row>
    <row r="15" spans="1:29" s="67" customFormat="1" ht="19.5" x14ac:dyDescent="0.25">
      <c r="A15" s="66">
        <v>7</v>
      </c>
      <c r="B15" s="62" t="s">
        <v>37</v>
      </c>
      <c r="C15" s="68">
        <f>+SUM(F15:AA15)</f>
        <v>280703.7</v>
      </c>
      <c r="D15" s="69">
        <v>93</v>
      </c>
      <c r="E15" s="70">
        <v>121259580.90000001</v>
      </c>
      <c r="F15" s="70">
        <f>31513.4+4019.4</f>
        <v>35532.800000000003</v>
      </c>
      <c r="G15" s="71"/>
      <c r="H15" s="71">
        <f>5041.4</f>
        <v>5041.3999999999996</v>
      </c>
      <c r="I15" s="71"/>
      <c r="J15" s="71"/>
      <c r="K15" s="71"/>
      <c r="L15" s="72"/>
      <c r="M15" s="70"/>
      <c r="N15" s="71"/>
      <c r="O15" s="71"/>
      <c r="P15" s="71"/>
      <c r="Q15" s="71"/>
      <c r="R15" s="71">
        <v>202186.9</v>
      </c>
      <c r="S15" s="71">
        <v>2050</v>
      </c>
      <c r="T15" s="71">
        <f>7615.6</f>
        <v>7615.6</v>
      </c>
      <c r="U15" s="71">
        <f>28277</f>
        <v>28277</v>
      </c>
      <c r="V15" s="71"/>
      <c r="W15" s="71"/>
      <c r="X15" s="71"/>
      <c r="Y15" s="71"/>
      <c r="Z15" s="70"/>
      <c r="AA15" s="72"/>
      <c r="AB15" s="71"/>
      <c r="AC15" s="76"/>
    </row>
    <row r="16" spans="1:29" s="67" customFormat="1" ht="19.5" x14ac:dyDescent="0.25">
      <c r="A16" s="66">
        <v>8</v>
      </c>
      <c r="B16" s="62" t="s">
        <v>39</v>
      </c>
      <c r="C16" s="68">
        <f>+SUM(F16:AA16)</f>
        <v>454886</v>
      </c>
      <c r="D16" s="69">
        <v>13</v>
      </c>
      <c r="E16" s="70"/>
      <c r="F16" s="70">
        <v>10860.5</v>
      </c>
      <c r="G16" s="71"/>
      <c r="H16" s="71"/>
      <c r="I16" s="71"/>
      <c r="J16" s="71"/>
      <c r="K16" s="71"/>
      <c r="L16" s="72">
        <f>28000+2500</f>
        <v>30500</v>
      </c>
      <c r="M16" s="70"/>
      <c r="N16" s="71">
        <v>46333</v>
      </c>
      <c r="O16" s="71">
        <f>152000+3197.4</f>
        <v>155197.4</v>
      </c>
      <c r="P16" s="71"/>
      <c r="Q16" s="71"/>
      <c r="R16" s="71"/>
      <c r="S16" s="71"/>
      <c r="T16" s="71"/>
      <c r="U16" s="71"/>
      <c r="V16" s="71"/>
      <c r="W16" s="71">
        <f>2900.4+3600</f>
        <v>6500.4</v>
      </c>
      <c r="X16" s="71">
        <f>13611.5+183068.6+8814.6</f>
        <v>205494.7</v>
      </c>
      <c r="Y16" s="71"/>
      <c r="Z16" s="70"/>
      <c r="AA16" s="72"/>
      <c r="AB16" s="71"/>
      <c r="AC16" s="76"/>
    </row>
    <row r="17" spans="1:30" s="67" customFormat="1" ht="19.5" x14ac:dyDescent="0.25">
      <c r="A17" s="66">
        <f>+A16+1</f>
        <v>9</v>
      </c>
      <c r="B17" s="62" t="s">
        <v>49</v>
      </c>
      <c r="C17" s="68">
        <f t="shared" ref="C17:C18" si="2">+SUM(F17:AA17)</f>
        <v>26462.300000000003</v>
      </c>
      <c r="D17" s="69">
        <v>4</v>
      </c>
      <c r="E17" s="70">
        <v>17033936.899999999</v>
      </c>
      <c r="F17" s="70"/>
      <c r="G17" s="71"/>
      <c r="H17" s="71"/>
      <c r="I17" s="71"/>
      <c r="J17" s="71">
        <v>1000</v>
      </c>
      <c r="K17" s="71"/>
      <c r="L17" s="72"/>
      <c r="M17" s="70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>
        <v>18602.900000000001</v>
      </c>
      <c r="Z17" s="70"/>
      <c r="AA17" s="72">
        <v>6859.4</v>
      </c>
      <c r="AB17" s="71">
        <v>1000</v>
      </c>
      <c r="AC17" s="76"/>
    </row>
    <row r="18" spans="1:30" s="67" customFormat="1" ht="19.5" x14ac:dyDescent="0.25">
      <c r="A18" s="66">
        <f>+A17+1</f>
        <v>10</v>
      </c>
      <c r="B18" s="62" t="s">
        <v>50</v>
      </c>
      <c r="C18" s="68">
        <f t="shared" si="2"/>
        <v>33551.899999999994</v>
      </c>
      <c r="D18" s="69">
        <v>8</v>
      </c>
      <c r="E18" s="70">
        <v>15915747.4</v>
      </c>
      <c r="F18" s="70">
        <v>1768.8</v>
      </c>
      <c r="G18" s="71"/>
      <c r="H18" s="71"/>
      <c r="I18" s="71"/>
      <c r="J18" s="71"/>
      <c r="K18" s="71"/>
      <c r="L18" s="72"/>
      <c r="M18" s="70"/>
      <c r="N18" s="71"/>
      <c r="O18" s="71"/>
      <c r="P18" s="71"/>
      <c r="Q18" s="71"/>
      <c r="R18" s="71"/>
      <c r="S18" s="71"/>
      <c r="T18" s="71"/>
      <c r="U18" s="71"/>
      <c r="V18" s="71">
        <v>28479.1</v>
      </c>
      <c r="W18" s="71"/>
      <c r="X18" s="71"/>
      <c r="Y18" s="71">
        <v>3304</v>
      </c>
      <c r="Z18" s="70"/>
      <c r="AA18" s="72"/>
      <c r="AB18" s="71"/>
      <c r="AC18" s="71">
        <v>3304</v>
      </c>
    </row>
    <row r="19" spans="1:30" ht="19.5" x14ac:dyDescent="0.3">
      <c r="A19" s="77"/>
      <c r="B19" s="78" t="s">
        <v>6</v>
      </c>
      <c r="C19" s="68">
        <f t="shared" ref="C19" si="3">+SUM(C9:C18)</f>
        <v>2602325.4999999995</v>
      </c>
      <c r="D19" s="68">
        <f>+SUM(D9:D18)</f>
        <v>418</v>
      </c>
      <c r="E19" s="79" t="s">
        <v>7</v>
      </c>
      <c r="F19" s="68">
        <f>+SUM(F9:F18)</f>
        <v>579556.60000000009</v>
      </c>
      <c r="G19" s="68">
        <f t="shared" ref="G19:AC19" si="4">+SUM(G9:G18)</f>
        <v>57718.9</v>
      </c>
      <c r="H19" s="68">
        <f t="shared" si="4"/>
        <v>73457.799999999988</v>
      </c>
      <c r="I19" s="68">
        <f t="shared" si="4"/>
        <v>31782</v>
      </c>
      <c r="J19" s="68">
        <f t="shared" si="4"/>
        <v>1000</v>
      </c>
      <c r="K19" s="68">
        <f t="shared" si="4"/>
        <v>1101.2</v>
      </c>
      <c r="L19" s="68">
        <f t="shared" si="4"/>
        <v>46943.3</v>
      </c>
      <c r="M19" s="68">
        <f t="shared" si="4"/>
        <v>219.4</v>
      </c>
      <c r="N19" s="68">
        <f t="shared" si="4"/>
        <v>46333</v>
      </c>
      <c r="O19" s="68">
        <f t="shared" si="4"/>
        <v>155197.4</v>
      </c>
      <c r="P19" s="68">
        <f t="shared" si="4"/>
        <v>5855.1</v>
      </c>
      <c r="Q19" s="68">
        <f t="shared" si="4"/>
        <v>11807.7</v>
      </c>
      <c r="R19" s="68">
        <f t="shared" si="4"/>
        <v>216640</v>
      </c>
      <c r="S19" s="68">
        <f t="shared" si="4"/>
        <v>13154.1</v>
      </c>
      <c r="T19" s="68">
        <f t="shared" si="4"/>
        <v>16704.5</v>
      </c>
      <c r="U19" s="68">
        <f t="shared" si="4"/>
        <v>32024.799999999999</v>
      </c>
      <c r="V19" s="68">
        <f t="shared" si="4"/>
        <v>30677.1</v>
      </c>
      <c r="W19" s="68">
        <f t="shared" si="4"/>
        <v>20172.400000000001</v>
      </c>
      <c r="X19" s="68">
        <f t="shared" si="4"/>
        <v>205494.7</v>
      </c>
      <c r="Y19" s="68">
        <f t="shared" si="4"/>
        <v>21906.9</v>
      </c>
      <c r="Z19" s="68">
        <f t="shared" si="4"/>
        <v>1027471</v>
      </c>
      <c r="AA19" s="68">
        <f t="shared" si="4"/>
        <v>7107.5999999999995</v>
      </c>
      <c r="AB19" s="68">
        <f t="shared" si="4"/>
        <v>33514</v>
      </c>
      <c r="AC19" s="68">
        <f t="shared" si="4"/>
        <v>3304</v>
      </c>
      <c r="AD19" s="80"/>
    </row>
    <row r="20" spans="1:30" x14ac:dyDescent="0.3">
      <c r="A20" s="81"/>
      <c r="C20" s="80"/>
      <c r="F20" s="80"/>
    </row>
    <row r="21" spans="1:30" x14ac:dyDescent="0.3">
      <c r="C21" s="80"/>
      <c r="F21" s="82"/>
      <c r="G21" s="82"/>
      <c r="H21" s="82"/>
      <c r="I21" s="82"/>
      <c r="J21" s="82"/>
      <c r="K21" s="82"/>
      <c r="T21" s="82"/>
    </row>
    <row r="22" spans="1:30" x14ac:dyDescent="0.3">
      <c r="C22" s="80"/>
      <c r="F22" s="80"/>
      <c r="H22" s="83"/>
      <c r="I22" s="84"/>
      <c r="J22" s="84"/>
      <c r="Y22" s="82"/>
      <c r="AB22" s="80"/>
    </row>
    <row r="23" spans="1:30" x14ac:dyDescent="0.3">
      <c r="C23" s="82"/>
      <c r="H23" s="85"/>
      <c r="I23" s="84"/>
      <c r="J23" s="84"/>
    </row>
    <row r="24" spans="1:30" x14ac:dyDescent="0.3">
      <c r="F24" s="80"/>
      <c r="H24" s="85"/>
      <c r="I24" s="84"/>
      <c r="J24" s="84"/>
      <c r="L24" s="82"/>
    </row>
    <row r="25" spans="1:30" x14ac:dyDescent="0.3">
      <c r="H25" s="85"/>
      <c r="I25" s="84"/>
      <c r="J25" s="84"/>
    </row>
    <row r="26" spans="1:30" x14ac:dyDescent="0.3">
      <c r="H26" s="85"/>
      <c r="I26" s="84"/>
      <c r="J26" s="84"/>
    </row>
    <row r="29" spans="1:30" x14ac:dyDescent="0.3">
      <c r="C29" s="82"/>
    </row>
  </sheetData>
  <mergeCells count="33">
    <mergeCell ref="AA7:AA8"/>
    <mergeCell ref="U7:U8"/>
    <mergeCell ref="V7:V8"/>
    <mergeCell ref="W7:W8"/>
    <mergeCell ref="X7:X8"/>
    <mergeCell ref="Y7:Y8"/>
    <mergeCell ref="Z7:Z8"/>
    <mergeCell ref="O7:O8"/>
    <mergeCell ref="P7:P8"/>
    <mergeCell ref="Q7:Q8"/>
    <mergeCell ref="R7:R8"/>
    <mergeCell ref="S7:S8"/>
    <mergeCell ref="J7:J8"/>
    <mergeCell ref="K7:K8"/>
    <mergeCell ref="L7:L8"/>
    <mergeCell ref="M7:M8"/>
    <mergeCell ref="N7:N8"/>
    <mergeCell ref="A2:AC2"/>
    <mergeCell ref="A3:AC3"/>
    <mergeCell ref="A4:AC4"/>
    <mergeCell ref="A6:A8"/>
    <mergeCell ref="B6:B8"/>
    <mergeCell ref="C6:C8"/>
    <mergeCell ref="D6:D8"/>
    <mergeCell ref="E6:E8"/>
    <mergeCell ref="F6:AA6"/>
    <mergeCell ref="AB6:AB8"/>
    <mergeCell ref="T7:T8"/>
    <mergeCell ref="AC6:AC8"/>
    <mergeCell ref="F7:F8"/>
    <mergeCell ref="G7:G8"/>
    <mergeCell ref="H7:H8"/>
    <mergeCell ref="I7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16"/>
  <sheetViews>
    <sheetView zoomScale="80" zoomScaleNormal="80" workbookViewId="0">
      <selection activeCell="F24" sqref="F24"/>
    </sheetView>
  </sheetViews>
  <sheetFormatPr defaultRowHeight="18.75" x14ac:dyDescent="0.3"/>
  <cols>
    <col min="1" max="1" width="6.140625" style="1" customWidth="1"/>
    <col min="2" max="2" width="55.140625" style="12" customWidth="1"/>
    <col min="3" max="3" width="20.7109375" style="1" customWidth="1"/>
    <col min="4" max="4" width="13.140625" style="1" customWidth="1"/>
    <col min="5" max="5" width="24.140625" style="1" customWidth="1"/>
    <col min="6" max="6" width="23.140625" style="1" customWidth="1"/>
    <col min="7" max="7" width="18.42578125" style="1" customWidth="1"/>
    <col min="8" max="8" width="21.42578125" style="1" customWidth="1"/>
    <col min="9" max="10" width="22.140625" style="1" customWidth="1"/>
    <col min="11" max="11" width="17.7109375" style="1" customWidth="1"/>
    <col min="12" max="13" width="18.5703125" style="1" customWidth="1"/>
    <col min="14" max="15" width="18.28515625" style="1" customWidth="1"/>
    <col min="16" max="16" width="20.42578125" style="1" customWidth="1"/>
    <col min="17" max="17" width="16.85546875" style="1" customWidth="1"/>
    <col min="18" max="18" width="18.5703125" style="1" customWidth="1"/>
    <col min="19" max="19" width="19.42578125" style="1" customWidth="1"/>
    <col min="20" max="20" width="22.5703125" style="1" customWidth="1"/>
    <col min="21" max="21" width="18.42578125" style="1" customWidth="1"/>
    <col min="22" max="24" width="19.28515625" style="1" customWidth="1"/>
    <col min="25" max="25" width="19.85546875" style="1" customWidth="1"/>
    <col min="26" max="26" width="21.140625" style="1" customWidth="1"/>
    <col min="27" max="27" width="15.85546875" style="1" customWidth="1"/>
    <col min="28" max="28" width="17.28515625" style="1" customWidth="1"/>
    <col min="29" max="29" width="19.85546875" style="1" customWidth="1"/>
    <col min="30" max="16384" width="9.140625" style="1"/>
  </cols>
  <sheetData>
    <row r="2" spans="1:29" ht="20.25" x14ac:dyDescent="0.3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</row>
    <row r="3" spans="1:29" ht="20.25" x14ac:dyDescent="0.3">
      <c r="A3" s="98" t="s">
        <v>96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</row>
    <row r="4" spans="1:29" ht="20.25" x14ac:dyDescent="0.3">
      <c r="A4" s="98" t="s">
        <v>52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</row>
    <row r="5" spans="1:29" ht="20.25" x14ac:dyDescent="0.3">
      <c r="A5" s="36"/>
      <c r="B5" s="37"/>
      <c r="C5" s="36"/>
      <c r="D5" s="36"/>
      <c r="E5" s="38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9" t="s">
        <v>53</v>
      </c>
      <c r="AB5" s="36"/>
      <c r="AC5" s="36"/>
    </row>
    <row r="6" spans="1:29" ht="20.25" x14ac:dyDescent="0.3">
      <c r="A6" s="112" t="s">
        <v>54</v>
      </c>
      <c r="B6" s="113" t="s">
        <v>55</v>
      </c>
      <c r="C6" s="112" t="s">
        <v>56</v>
      </c>
      <c r="D6" s="112" t="s">
        <v>57</v>
      </c>
      <c r="E6" s="112" t="s">
        <v>58</v>
      </c>
      <c r="F6" s="112" t="s">
        <v>59</v>
      </c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 t="s">
        <v>60</v>
      </c>
      <c r="AC6" s="112" t="s">
        <v>61</v>
      </c>
    </row>
    <row r="7" spans="1:29" ht="162" x14ac:dyDescent="0.3">
      <c r="A7" s="112"/>
      <c r="B7" s="113"/>
      <c r="C7" s="112"/>
      <c r="D7" s="112"/>
      <c r="E7" s="112"/>
      <c r="F7" s="58" t="s">
        <v>62</v>
      </c>
      <c r="G7" s="58" t="s">
        <v>63</v>
      </c>
      <c r="H7" s="58" t="s">
        <v>64</v>
      </c>
      <c r="I7" s="58" t="s">
        <v>65</v>
      </c>
      <c r="J7" s="58" t="s">
        <v>93</v>
      </c>
      <c r="K7" s="58" t="s">
        <v>66</v>
      </c>
      <c r="L7" s="58" t="s">
        <v>67</v>
      </c>
      <c r="M7" s="58" t="s">
        <v>88</v>
      </c>
      <c r="N7" s="58" t="s">
        <v>68</v>
      </c>
      <c r="O7" s="58" t="s">
        <v>90</v>
      </c>
      <c r="P7" s="58" t="s">
        <v>89</v>
      </c>
      <c r="Q7" s="58" t="s">
        <v>69</v>
      </c>
      <c r="R7" s="58" t="s">
        <v>70</v>
      </c>
      <c r="S7" s="58" t="s">
        <v>71</v>
      </c>
      <c r="T7" s="58" t="s">
        <v>72</v>
      </c>
      <c r="U7" s="58" t="s">
        <v>73</v>
      </c>
      <c r="V7" s="58" t="s">
        <v>74</v>
      </c>
      <c r="W7" s="58" t="s">
        <v>75</v>
      </c>
      <c r="X7" s="58" t="s">
        <v>91</v>
      </c>
      <c r="Y7" s="58" t="s">
        <v>92</v>
      </c>
      <c r="Z7" s="58" t="s">
        <v>76</v>
      </c>
      <c r="AA7" s="58" t="s">
        <v>77</v>
      </c>
      <c r="AB7" s="112"/>
      <c r="AC7" s="112"/>
    </row>
    <row r="8" spans="1:29" ht="20.25" x14ac:dyDescent="0.3">
      <c r="A8" s="40">
        <v>1</v>
      </c>
      <c r="B8" s="41" t="s">
        <v>78</v>
      </c>
      <c r="C8" s="56">
        <f>+SUM(F8:AA8)</f>
        <v>30066.400000000001</v>
      </c>
      <c r="D8" s="57">
        <f>4+1+1+5+2+1</f>
        <v>14</v>
      </c>
      <c r="E8" s="45">
        <f>5335048+5823757+6092158.8</f>
        <v>17250963.800000001</v>
      </c>
      <c r="F8" s="61">
        <f>10322.4+127.4+448.8+2355.1+150</f>
        <v>13403.699999999999</v>
      </c>
      <c r="G8" s="44"/>
      <c r="H8" s="44"/>
      <c r="I8" s="44"/>
      <c r="J8" s="44"/>
      <c r="K8" s="44"/>
      <c r="L8" s="44">
        <v>16443.3</v>
      </c>
      <c r="M8" s="44"/>
      <c r="N8" s="44">
        <v>219.4</v>
      </c>
      <c r="O8" s="44"/>
      <c r="P8" s="44"/>
      <c r="Q8" s="44"/>
      <c r="R8" s="44"/>
      <c r="S8" s="44"/>
      <c r="T8" s="44"/>
      <c r="U8" s="59"/>
      <c r="V8" s="59"/>
      <c r="W8" s="59"/>
      <c r="X8" s="59"/>
      <c r="Y8" s="59"/>
      <c r="Z8" s="59"/>
      <c r="AA8" s="59"/>
      <c r="AB8" s="60">
        <v>4224</v>
      </c>
      <c r="AC8" s="59"/>
    </row>
    <row r="9" spans="1:29" ht="20.25" x14ac:dyDescent="0.3">
      <c r="A9" s="40">
        <f>+A8+1</f>
        <v>2</v>
      </c>
      <c r="B9" s="49" t="s">
        <v>79</v>
      </c>
      <c r="C9" s="42">
        <f t="shared" ref="C8:C15" si="0">+SUM(F9:AA9)</f>
        <v>6514.1</v>
      </c>
      <c r="D9" s="43">
        <v>4</v>
      </c>
      <c r="E9" s="44">
        <f>6634578+6833644+8089121</f>
        <v>21557343</v>
      </c>
      <c r="F9" s="44">
        <v>4316.1000000000004</v>
      </c>
      <c r="G9" s="44"/>
      <c r="H9" s="44"/>
      <c r="I9" s="44"/>
      <c r="J9" s="44"/>
      <c r="K9" s="44"/>
      <c r="L9" s="59"/>
      <c r="M9" s="59"/>
      <c r="N9" s="44"/>
      <c r="O9" s="44"/>
      <c r="P9" s="44"/>
      <c r="Q9" s="44"/>
      <c r="R9" s="44"/>
      <c r="S9" s="44"/>
      <c r="T9" s="44"/>
      <c r="U9" s="59"/>
      <c r="V9" s="59"/>
      <c r="W9" s="60">
        <v>2198</v>
      </c>
      <c r="X9" s="60"/>
      <c r="Y9" s="60"/>
      <c r="Z9" s="60"/>
      <c r="AA9" s="50"/>
      <c r="AB9" s="50"/>
      <c r="AC9" s="50"/>
    </row>
    <row r="10" spans="1:29" ht="20.25" x14ac:dyDescent="0.3">
      <c r="A10" s="40">
        <f t="shared" ref="A10:A12" si="1">+A9+1</f>
        <v>3</v>
      </c>
      <c r="B10" s="49" t="s">
        <v>80</v>
      </c>
      <c r="C10" s="42">
        <f t="shared" si="0"/>
        <v>149294</v>
      </c>
      <c r="D10" s="43">
        <f>1+14+14+25+23</f>
        <v>77</v>
      </c>
      <c r="E10" s="44">
        <v>7461667</v>
      </c>
      <c r="F10" s="44">
        <v>143525.79999999999</v>
      </c>
      <c r="G10" s="44"/>
      <c r="H10" s="44"/>
      <c r="I10" s="44"/>
      <c r="J10" s="44"/>
      <c r="K10" s="44"/>
      <c r="L10" s="59"/>
      <c r="M10" s="59"/>
      <c r="N10" s="44"/>
      <c r="O10" s="44"/>
      <c r="P10" s="44"/>
      <c r="Q10" s="44"/>
      <c r="R10" s="44"/>
      <c r="S10" s="44"/>
      <c r="T10" s="44"/>
      <c r="U10" s="59"/>
      <c r="V10" s="59"/>
      <c r="W10" s="60"/>
      <c r="X10" s="60"/>
      <c r="Y10" s="60"/>
      <c r="Z10" s="60">
        <v>5520</v>
      </c>
      <c r="AA10" s="59">
        <v>248.2</v>
      </c>
      <c r="AB10" s="59"/>
      <c r="AC10" s="59"/>
    </row>
    <row r="11" spans="1:29" ht="20.25" x14ac:dyDescent="0.3">
      <c r="A11" s="40">
        <f t="shared" si="1"/>
        <v>4</v>
      </c>
      <c r="B11" s="49" t="s">
        <v>81</v>
      </c>
      <c r="C11" s="42">
        <f t="shared" si="0"/>
        <v>1414425</v>
      </c>
      <c r="D11" s="43">
        <v>176</v>
      </c>
      <c r="E11" s="44">
        <f>10704314.6+14957784.1</f>
        <v>25662098.699999999</v>
      </c>
      <c r="F11" s="44">
        <v>370148.9</v>
      </c>
      <c r="G11" s="44"/>
      <c r="H11" s="44">
        <v>22325.1</v>
      </c>
      <c r="I11" s="44"/>
      <c r="J11" s="44"/>
      <c r="K11" s="44"/>
      <c r="L11" s="59"/>
      <c r="M11" s="59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>
        <v>1021951</v>
      </c>
      <c r="AA11" s="44"/>
      <c r="AB11" s="44">
        <v>16400</v>
      </c>
      <c r="AC11" s="44"/>
    </row>
    <row r="12" spans="1:29" ht="20.25" x14ac:dyDescent="0.3">
      <c r="A12" s="40">
        <f t="shared" si="1"/>
        <v>5</v>
      </c>
      <c r="B12" s="49" t="s">
        <v>82</v>
      </c>
      <c r="C12" s="42">
        <f t="shared" si="0"/>
        <v>191269.7</v>
      </c>
      <c r="D12" s="43">
        <f>4+6+14</f>
        <v>24</v>
      </c>
      <c r="E12" s="44"/>
      <c r="F12" s="44"/>
      <c r="G12" s="44">
        <v>57718.9</v>
      </c>
      <c r="H12" s="44">
        <f>16332.8+24147+4131.1</f>
        <v>44610.9</v>
      </c>
      <c r="I12" s="44">
        <v>31782</v>
      </c>
      <c r="J12" s="44"/>
      <c r="K12" s="44">
        <v>1101.2</v>
      </c>
      <c r="L12" s="59"/>
      <c r="M12" s="59"/>
      <c r="N12" s="44"/>
      <c r="O12" s="44"/>
      <c r="P12" s="44"/>
      <c r="Q12" s="44">
        <f>952.3+4902.8</f>
        <v>5855.1</v>
      </c>
      <c r="R12" s="44">
        <f>6122.2+5685.5</f>
        <v>11807.7</v>
      </c>
      <c r="S12" s="44">
        <f>2835.3+8998.2+2619.6</f>
        <v>14453.1</v>
      </c>
      <c r="T12" s="44">
        <f>8097.7+3006.4</f>
        <v>11104.1</v>
      </c>
      <c r="U12" s="44">
        <f>764.8+878.1+4874.9+2571.1</f>
        <v>9088.9</v>
      </c>
      <c r="V12" s="44">
        <f>283.6+993.8+2470.4</f>
        <v>3747.8</v>
      </c>
      <c r="W12" s="3"/>
      <c r="X12" s="44"/>
      <c r="Y12" s="44"/>
      <c r="Z12" s="3"/>
      <c r="AA12" s="44"/>
      <c r="AB12" s="44"/>
      <c r="AC12" s="44"/>
    </row>
    <row r="13" spans="1:29" ht="20.25" x14ac:dyDescent="0.3">
      <c r="A13" s="40">
        <v>6</v>
      </c>
      <c r="B13" s="49" t="s">
        <v>83</v>
      </c>
      <c r="C13" s="42">
        <f t="shared" si="0"/>
        <v>15152.4</v>
      </c>
      <c r="D13" s="43">
        <v>5</v>
      </c>
      <c r="E13" s="44"/>
      <c r="F13" s="44"/>
      <c r="G13" s="44"/>
      <c r="H13" s="44">
        <f>170.3+1310.1</f>
        <v>1480.3999999999999</v>
      </c>
      <c r="I13" s="44"/>
      <c r="J13" s="44"/>
      <c r="K13" s="44"/>
      <c r="L13" s="59"/>
      <c r="M13" s="44">
        <v>13672</v>
      </c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>
        <v>11890</v>
      </c>
      <c r="AC13" s="44"/>
    </row>
    <row r="14" spans="1:29" ht="20.25" x14ac:dyDescent="0.3">
      <c r="A14" s="40">
        <v>7</v>
      </c>
      <c r="B14" s="49" t="s">
        <v>84</v>
      </c>
      <c r="C14" s="42">
        <f t="shared" si="0"/>
        <v>280703.7</v>
      </c>
      <c r="D14" s="43">
        <v>93</v>
      </c>
      <c r="E14" s="44">
        <v>121259580.90000001</v>
      </c>
      <c r="F14" s="44">
        <f>31513.4+4019.4</f>
        <v>35532.800000000003</v>
      </c>
      <c r="G14" s="44"/>
      <c r="H14" s="44">
        <f>5041.4</f>
        <v>5041.3999999999996</v>
      </c>
      <c r="I14" s="44"/>
      <c r="J14" s="44"/>
      <c r="K14" s="44"/>
      <c r="L14" s="59"/>
      <c r="M14" s="59"/>
      <c r="N14" s="44"/>
      <c r="O14" s="44"/>
      <c r="P14" s="44"/>
      <c r="Q14" s="44"/>
      <c r="R14" s="44"/>
      <c r="S14" s="44">
        <v>202186.9</v>
      </c>
      <c r="T14" s="44">
        <v>2050</v>
      </c>
      <c r="U14" s="44">
        <f>7615.6</f>
        <v>7615.6</v>
      </c>
      <c r="V14" s="61">
        <f>28277</f>
        <v>28277</v>
      </c>
      <c r="W14" s="3"/>
      <c r="X14" s="44"/>
      <c r="Y14" s="44"/>
      <c r="Z14" s="3"/>
      <c r="AA14" s="44"/>
      <c r="AB14" s="44"/>
      <c r="AC14" s="44"/>
    </row>
    <row r="15" spans="1:29" ht="20.25" x14ac:dyDescent="0.3">
      <c r="A15" s="40">
        <v>8</v>
      </c>
      <c r="B15" s="49" t="s">
        <v>85</v>
      </c>
      <c r="C15" s="42">
        <f t="shared" si="0"/>
        <v>454886</v>
      </c>
      <c r="D15" s="43">
        <v>13</v>
      </c>
      <c r="E15" s="44"/>
      <c r="F15" s="44">
        <v>10860.5</v>
      </c>
      <c r="G15" s="44"/>
      <c r="H15" s="44"/>
      <c r="I15" s="44"/>
      <c r="J15" s="44"/>
      <c r="K15" s="44"/>
      <c r="L15" s="59">
        <f>28000+2500</f>
        <v>30500</v>
      </c>
      <c r="M15" s="59">
        <v>6500.4</v>
      </c>
      <c r="N15" s="44"/>
      <c r="O15" s="44">
        <v>46333</v>
      </c>
      <c r="P15" s="44">
        <f>152000+3197.4</f>
        <v>155197.4</v>
      </c>
      <c r="Q15" s="44"/>
      <c r="R15" s="44"/>
      <c r="S15" s="44"/>
      <c r="T15" s="44"/>
      <c r="U15" s="44"/>
      <c r="V15" s="44"/>
      <c r="W15" s="44"/>
      <c r="X15" s="44">
        <f>13611.5+183068.6+8814.6</f>
        <v>205494.7</v>
      </c>
      <c r="Y15" s="44"/>
      <c r="Z15" s="44"/>
      <c r="AA15" s="44"/>
      <c r="AB15" s="44"/>
      <c r="AC15" s="3"/>
    </row>
    <row r="16" spans="1:29" ht="23.25" customHeight="1" x14ac:dyDescent="0.3">
      <c r="A16" s="114"/>
      <c r="B16" s="19" t="s">
        <v>86</v>
      </c>
      <c r="C16" s="42">
        <f>+C8+C9+C10+C11+C12+C13+C14+C15</f>
        <v>2542311.2999999998</v>
      </c>
      <c r="D16" s="42">
        <f>SUM(D8:D15)</f>
        <v>406</v>
      </c>
      <c r="E16" s="42" t="s">
        <v>97</v>
      </c>
      <c r="F16" s="42">
        <f t="shared" ref="F16:AC16" si="2">SUM(F8:F15)</f>
        <v>577787.80000000005</v>
      </c>
      <c r="G16" s="42">
        <f t="shared" si="2"/>
        <v>57718.9</v>
      </c>
      <c r="H16" s="42">
        <f t="shared" si="2"/>
        <v>73457.799999999988</v>
      </c>
      <c r="I16" s="42">
        <f t="shared" si="2"/>
        <v>31782</v>
      </c>
      <c r="J16" s="42">
        <f t="shared" si="2"/>
        <v>0</v>
      </c>
      <c r="K16" s="42">
        <f t="shared" si="2"/>
        <v>1101.2</v>
      </c>
      <c r="L16" s="42">
        <f t="shared" si="2"/>
        <v>46943.3</v>
      </c>
      <c r="M16" s="42">
        <f t="shared" si="2"/>
        <v>20172.400000000001</v>
      </c>
      <c r="N16" s="42">
        <f t="shared" si="2"/>
        <v>219.4</v>
      </c>
      <c r="O16" s="42">
        <f t="shared" si="2"/>
        <v>46333</v>
      </c>
      <c r="P16" s="42">
        <f t="shared" si="2"/>
        <v>155197.4</v>
      </c>
      <c r="Q16" s="42">
        <f t="shared" si="2"/>
        <v>5855.1</v>
      </c>
      <c r="R16" s="42">
        <f t="shared" si="2"/>
        <v>11807.7</v>
      </c>
      <c r="S16" s="42">
        <f t="shared" si="2"/>
        <v>216640</v>
      </c>
      <c r="T16" s="42">
        <f t="shared" si="2"/>
        <v>13154.1</v>
      </c>
      <c r="U16" s="42">
        <f t="shared" si="2"/>
        <v>16704.5</v>
      </c>
      <c r="V16" s="42">
        <f t="shared" si="2"/>
        <v>32024.799999999999</v>
      </c>
      <c r="W16" s="42">
        <f t="shared" si="2"/>
        <v>2198</v>
      </c>
      <c r="X16" s="42">
        <f t="shared" si="2"/>
        <v>205494.7</v>
      </c>
      <c r="Y16" s="42">
        <f t="shared" si="2"/>
        <v>0</v>
      </c>
      <c r="Z16" s="42">
        <f t="shared" si="2"/>
        <v>1027471</v>
      </c>
      <c r="AA16" s="42">
        <f t="shared" si="2"/>
        <v>248.2</v>
      </c>
      <c r="AB16" s="42">
        <f t="shared" si="2"/>
        <v>32514</v>
      </c>
      <c r="AC16" s="42">
        <f t="shared" si="2"/>
        <v>0</v>
      </c>
    </row>
  </sheetData>
  <mergeCells count="11">
    <mergeCell ref="AC6:AC7"/>
    <mergeCell ref="A2:AC2"/>
    <mergeCell ref="A3:AC3"/>
    <mergeCell ref="A4:AC4"/>
    <mergeCell ref="A6:A7"/>
    <mergeCell ref="B6:B7"/>
    <mergeCell ref="C6:C7"/>
    <mergeCell ref="D6:D7"/>
    <mergeCell ref="E6:E7"/>
    <mergeCell ref="F6:AA6"/>
    <mergeCell ref="AB6:AB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zoomScale="80" zoomScaleNormal="80" workbookViewId="0">
      <pane xSplit="3" topLeftCell="D1" activePane="topRight" state="frozen"/>
      <selection pane="topRight" activeCell="E8" sqref="E8"/>
    </sheetView>
  </sheetViews>
  <sheetFormatPr defaultRowHeight="18.75" x14ac:dyDescent="0.3"/>
  <cols>
    <col min="1" max="1" width="6.140625" style="1" customWidth="1"/>
    <col min="2" max="2" width="55.140625" style="12" customWidth="1"/>
    <col min="3" max="3" width="20.7109375" style="1" customWidth="1"/>
    <col min="4" max="4" width="14" style="1" customWidth="1"/>
    <col min="5" max="5" width="24.140625" style="1" customWidth="1"/>
    <col min="6" max="6" width="23.140625" style="1" customWidth="1"/>
    <col min="7" max="7" width="18.42578125" style="1" customWidth="1"/>
    <col min="8" max="8" width="21.42578125" style="1" customWidth="1"/>
    <col min="9" max="10" width="22.140625" style="1" customWidth="1"/>
    <col min="11" max="11" width="17.7109375" style="1" customWidth="1"/>
    <col min="12" max="13" width="18.5703125" style="1" customWidth="1"/>
    <col min="14" max="15" width="18.28515625" style="1" customWidth="1"/>
    <col min="16" max="16" width="20.42578125" style="1" customWidth="1"/>
    <col min="17" max="17" width="16.85546875" style="1" customWidth="1"/>
    <col min="18" max="18" width="18.5703125" style="1" customWidth="1"/>
    <col min="19" max="19" width="19.42578125" style="1" customWidth="1"/>
    <col min="20" max="20" width="22.5703125" style="1" customWidth="1"/>
    <col min="21" max="21" width="18.42578125" style="1" customWidth="1"/>
    <col min="22" max="24" width="19.28515625" style="1" customWidth="1"/>
    <col min="25" max="25" width="19.85546875" style="1" customWidth="1"/>
    <col min="26" max="26" width="21.140625" style="1" customWidth="1"/>
    <col min="27" max="27" width="15.85546875" style="1" customWidth="1"/>
    <col min="28" max="28" width="17.28515625" style="1" customWidth="1"/>
    <col min="29" max="29" width="19.85546875" style="1" customWidth="1"/>
    <col min="30" max="30" width="10.28515625" style="1" hidden="1" customWidth="1"/>
    <col min="31" max="31" width="4.5703125" style="1" hidden="1" customWidth="1"/>
    <col min="32" max="32" width="6.5703125" style="1" hidden="1" customWidth="1"/>
    <col min="33" max="33" width="4.5703125" style="1" hidden="1" customWidth="1"/>
    <col min="34" max="16384" width="9.140625" style="1"/>
  </cols>
  <sheetData>
    <row r="1" spans="1:33" x14ac:dyDescent="0.3">
      <c r="AD1" s="35"/>
      <c r="AE1" s="35"/>
      <c r="AF1" s="35"/>
      <c r="AG1" s="35"/>
    </row>
    <row r="2" spans="1:33" ht="20.25" x14ac:dyDescent="0.3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35"/>
      <c r="AE2" s="35"/>
      <c r="AF2" s="35"/>
      <c r="AG2" s="35"/>
    </row>
    <row r="3" spans="1:33" ht="20.25" x14ac:dyDescent="0.3">
      <c r="A3" s="98" t="s">
        <v>87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35"/>
      <c r="AE3" s="35"/>
      <c r="AF3" s="35"/>
      <c r="AG3" s="35"/>
    </row>
    <row r="4" spans="1:33" ht="20.25" x14ac:dyDescent="0.3">
      <c r="A4" s="98" t="s">
        <v>52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35"/>
      <c r="AE4" s="35"/>
      <c r="AF4" s="35"/>
      <c r="AG4" s="35"/>
    </row>
    <row r="5" spans="1:33" ht="20.25" x14ac:dyDescent="0.3">
      <c r="A5" s="36"/>
      <c r="B5" s="37"/>
      <c r="C5" s="36"/>
      <c r="D5" s="36"/>
      <c r="E5" s="38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9" t="s">
        <v>53</v>
      </c>
      <c r="AB5" s="36"/>
      <c r="AC5" s="36"/>
      <c r="AD5" s="35"/>
      <c r="AE5" s="35"/>
      <c r="AF5" s="35"/>
      <c r="AG5" s="35"/>
    </row>
    <row r="6" spans="1:33" ht="20.25" x14ac:dyDescent="0.3">
      <c r="A6" s="112" t="s">
        <v>54</v>
      </c>
      <c r="B6" s="113" t="s">
        <v>55</v>
      </c>
      <c r="C6" s="112" t="s">
        <v>56</v>
      </c>
      <c r="D6" s="112" t="s">
        <v>57</v>
      </c>
      <c r="E6" s="112" t="s">
        <v>58</v>
      </c>
      <c r="F6" s="112" t="s">
        <v>59</v>
      </c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 t="s">
        <v>60</v>
      </c>
      <c r="AC6" s="112" t="s">
        <v>61</v>
      </c>
      <c r="AD6" s="12"/>
      <c r="AE6" s="12"/>
      <c r="AF6" s="12"/>
      <c r="AG6" s="12"/>
    </row>
    <row r="7" spans="1:33" s="12" customFormat="1" ht="180.75" customHeight="1" x14ac:dyDescent="0.3">
      <c r="A7" s="112"/>
      <c r="B7" s="113"/>
      <c r="C7" s="112"/>
      <c r="D7" s="112"/>
      <c r="E7" s="112"/>
      <c r="F7" s="58" t="s">
        <v>62</v>
      </c>
      <c r="G7" s="58" t="s">
        <v>63</v>
      </c>
      <c r="H7" s="58" t="s">
        <v>64</v>
      </c>
      <c r="I7" s="58" t="s">
        <v>65</v>
      </c>
      <c r="J7" s="58" t="s">
        <v>93</v>
      </c>
      <c r="K7" s="58" t="s">
        <v>66</v>
      </c>
      <c r="L7" s="58" t="s">
        <v>67</v>
      </c>
      <c r="M7" s="58" t="s">
        <v>88</v>
      </c>
      <c r="N7" s="58" t="s">
        <v>68</v>
      </c>
      <c r="O7" s="58" t="s">
        <v>90</v>
      </c>
      <c r="P7" s="58" t="s">
        <v>89</v>
      </c>
      <c r="Q7" s="58" t="s">
        <v>69</v>
      </c>
      <c r="R7" s="58" t="s">
        <v>70</v>
      </c>
      <c r="S7" s="58" t="s">
        <v>71</v>
      </c>
      <c r="T7" s="58" t="s">
        <v>72</v>
      </c>
      <c r="U7" s="58" t="s">
        <v>73</v>
      </c>
      <c r="V7" s="58" t="s">
        <v>74</v>
      </c>
      <c r="W7" s="58" t="s">
        <v>75</v>
      </c>
      <c r="X7" s="58" t="s">
        <v>91</v>
      </c>
      <c r="Y7" s="58" t="s">
        <v>92</v>
      </c>
      <c r="Z7" s="58" t="s">
        <v>76</v>
      </c>
      <c r="AA7" s="58" t="s">
        <v>77</v>
      </c>
      <c r="AB7" s="112"/>
      <c r="AC7" s="112"/>
    </row>
    <row r="8" spans="1:33" s="18" customFormat="1" ht="20.25" x14ac:dyDescent="0.25">
      <c r="A8" s="40">
        <v>1</v>
      </c>
      <c r="B8" s="41" t="s">
        <v>78</v>
      </c>
      <c r="C8" s="56">
        <f t="shared" ref="C8:C15" si="0">+SUM(F8:AA8)</f>
        <v>30066.400000000001</v>
      </c>
      <c r="D8" s="57">
        <f>4+1+1+5+2+1</f>
        <v>14</v>
      </c>
      <c r="E8" s="45">
        <f>5335048+5823757+6092158.8</f>
        <v>17250963.800000001</v>
      </c>
      <c r="F8" s="61">
        <f>10322.4+127.4+448.8+2355.1+150</f>
        <v>13403.699999999999</v>
      </c>
      <c r="G8" s="44"/>
      <c r="H8" s="44"/>
      <c r="I8" s="44"/>
      <c r="J8" s="44"/>
      <c r="K8" s="44"/>
      <c r="L8" s="44">
        <v>16443.3</v>
      </c>
      <c r="M8" s="44"/>
      <c r="N8" s="44">
        <v>219.4</v>
      </c>
      <c r="O8" s="44"/>
      <c r="P8" s="44"/>
      <c r="Q8" s="44"/>
      <c r="R8" s="44"/>
      <c r="S8" s="44"/>
      <c r="T8" s="44"/>
      <c r="U8" s="59"/>
      <c r="V8" s="59"/>
      <c r="W8" s="59"/>
      <c r="X8" s="59"/>
      <c r="Y8" s="59"/>
      <c r="Z8" s="59"/>
      <c r="AA8" s="59"/>
      <c r="AB8" s="60">
        <v>4224</v>
      </c>
      <c r="AC8" s="59"/>
      <c r="AD8" s="46"/>
      <c r="AE8" s="47"/>
      <c r="AF8" s="46">
        <v>4224</v>
      </c>
      <c r="AG8" s="48"/>
    </row>
    <row r="9" spans="1:33" s="18" customFormat="1" ht="20.25" x14ac:dyDescent="0.25">
      <c r="A9" s="40">
        <f>+A8+1</f>
        <v>2</v>
      </c>
      <c r="B9" s="49" t="s">
        <v>79</v>
      </c>
      <c r="C9" s="42">
        <f t="shared" si="0"/>
        <v>6514.1</v>
      </c>
      <c r="D9" s="43">
        <v>4</v>
      </c>
      <c r="E9" s="44">
        <f>6634578+6833644+8089121</f>
        <v>21557343</v>
      </c>
      <c r="F9" s="44">
        <v>4316.1000000000004</v>
      </c>
      <c r="G9" s="44"/>
      <c r="H9" s="44"/>
      <c r="I9" s="44"/>
      <c r="J9" s="44"/>
      <c r="K9" s="44"/>
      <c r="L9" s="59"/>
      <c r="M9" s="59"/>
      <c r="N9" s="44"/>
      <c r="O9" s="44"/>
      <c r="P9" s="44"/>
      <c r="Q9" s="44"/>
      <c r="R9" s="44"/>
      <c r="S9" s="44"/>
      <c r="T9" s="44"/>
      <c r="U9" s="59"/>
      <c r="V9" s="59"/>
      <c r="W9" s="60">
        <v>2198</v>
      </c>
      <c r="X9" s="60"/>
      <c r="Y9" s="60"/>
      <c r="Z9" s="60"/>
      <c r="AA9" s="50"/>
      <c r="AB9" s="50"/>
      <c r="AC9" s="50"/>
      <c r="AD9" s="46"/>
      <c r="AE9" s="47"/>
      <c r="AF9" s="46"/>
      <c r="AG9" s="48"/>
    </row>
    <row r="10" spans="1:33" s="18" customFormat="1" ht="20.25" x14ac:dyDescent="0.3">
      <c r="A10" s="40">
        <f t="shared" ref="A10:A12" si="1">+A9+1</f>
        <v>3</v>
      </c>
      <c r="B10" s="49" t="s">
        <v>80</v>
      </c>
      <c r="C10" s="42">
        <f t="shared" si="0"/>
        <v>149294</v>
      </c>
      <c r="D10" s="43">
        <f>1+14+14+25+23</f>
        <v>77</v>
      </c>
      <c r="E10" s="44">
        <v>7461667</v>
      </c>
      <c r="F10" s="44">
        <v>143525.79999999999</v>
      </c>
      <c r="G10" s="44"/>
      <c r="H10" s="44"/>
      <c r="I10" s="44"/>
      <c r="J10" s="44"/>
      <c r="K10" s="44"/>
      <c r="L10" s="59"/>
      <c r="M10" s="59"/>
      <c r="N10" s="44"/>
      <c r="O10" s="44"/>
      <c r="P10" s="44"/>
      <c r="Q10" s="44"/>
      <c r="R10" s="44"/>
      <c r="S10" s="44"/>
      <c r="T10" s="44"/>
      <c r="U10" s="59"/>
      <c r="V10" s="59"/>
      <c r="W10" s="60"/>
      <c r="X10" s="60"/>
      <c r="Y10" s="60"/>
      <c r="Z10" s="60">
        <v>5520</v>
      </c>
      <c r="AA10" s="59">
        <v>248.2</v>
      </c>
      <c r="AB10" s="59"/>
      <c r="AC10" s="59"/>
      <c r="AD10" s="51">
        <v>5520</v>
      </c>
      <c r="AE10" s="52">
        <v>248.2</v>
      </c>
      <c r="AF10" s="32"/>
      <c r="AG10" s="34"/>
    </row>
    <row r="11" spans="1:33" s="18" customFormat="1" ht="20.25" x14ac:dyDescent="0.25">
      <c r="A11" s="40">
        <f t="shared" si="1"/>
        <v>4</v>
      </c>
      <c r="B11" s="49" t="s">
        <v>81</v>
      </c>
      <c r="C11" s="42">
        <f t="shared" si="0"/>
        <v>1414425</v>
      </c>
      <c r="D11" s="43">
        <v>176</v>
      </c>
      <c r="E11" s="44">
        <f>10704314.6+14957784.1</f>
        <v>25662098.699999999</v>
      </c>
      <c r="F11" s="44">
        <v>370148.9</v>
      </c>
      <c r="G11" s="44"/>
      <c r="H11" s="44">
        <v>22325.1</v>
      </c>
      <c r="I11" s="44"/>
      <c r="J11" s="44"/>
      <c r="K11" s="44"/>
      <c r="L11" s="59"/>
      <c r="M11" s="59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>
        <v>1021951</v>
      </c>
      <c r="AA11" s="44"/>
      <c r="AB11" s="44">
        <v>16400</v>
      </c>
      <c r="AC11" s="44"/>
      <c r="AD11" s="32">
        <v>1021951</v>
      </c>
      <c r="AE11" s="47"/>
      <c r="AF11" s="32">
        <v>16.399999999999999</v>
      </c>
      <c r="AG11" s="34"/>
    </row>
    <row r="12" spans="1:33" s="18" customFormat="1" ht="20.25" x14ac:dyDescent="0.25">
      <c r="A12" s="40">
        <f t="shared" si="1"/>
        <v>5</v>
      </c>
      <c r="B12" s="49" t="s">
        <v>82</v>
      </c>
      <c r="C12" s="42">
        <f t="shared" si="0"/>
        <v>191269.7</v>
      </c>
      <c r="D12" s="43">
        <f>4+6+14</f>
        <v>24</v>
      </c>
      <c r="E12" s="44"/>
      <c r="F12" s="44"/>
      <c r="G12" s="44">
        <v>57718.9</v>
      </c>
      <c r="H12" s="44">
        <f>16332.8+24147+4131.1</f>
        <v>44610.9</v>
      </c>
      <c r="I12" s="44">
        <v>31782</v>
      </c>
      <c r="J12" s="44"/>
      <c r="K12" s="44">
        <v>1101.2</v>
      </c>
      <c r="L12" s="59"/>
      <c r="M12" s="59"/>
      <c r="N12" s="44"/>
      <c r="O12" s="44"/>
      <c r="P12" s="44"/>
      <c r="Q12" s="44">
        <f>952.3+4902.8</f>
        <v>5855.1</v>
      </c>
      <c r="R12" s="44">
        <f>6122.2+5685.5</f>
        <v>11807.7</v>
      </c>
      <c r="S12" s="44">
        <f>2835.3+8998.2+2619.6</f>
        <v>14453.1</v>
      </c>
      <c r="T12" s="44">
        <f>8097.7+3006.4</f>
        <v>11104.1</v>
      </c>
      <c r="U12" s="44">
        <f>764.8+878.1+4874.9+2571.1</f>
        <v>9088.9</v>
      </c>
      <c r="V12" s="44">
        <f>283.6+993.8+2470.4</f>
        <v>3747.8</v>
      </c>
      <c r="W12" s="3"/>
      <c r="X12" s="44"/>
      <c r="Y12" s="44"/>
      <c r="Z12" s="3"/>
      <c r="AA12" s="44"/>
      <c r="AB12" s="44"/>
      <c r="AC12" s="44"/>
      <c r="AD12" s="32"/>
      <c r="AE12" s="47"/>
      <c r="AF12" s="32"/>
      <c r="AG12" s="34"/>
    </row>
    <row r="13" spans="1:33" s="18" customFormat="1" ht="20.25" x14ac:dyDescent="0.25">
      <c r="A13" s="40">
        <v>6</v>
      </c>
      <c r="B13" s="49" t="s">
        <v>83</v>
      </c>
      <c r="C13" s="42">
        <f t="shared" si="0"/>
        <v>15152.4</v>
      </c>
      <c r="D13" s="43">
        <v>5</v>
      </c>
      <c r="E13" s="44"/>
      <c r="F13" s="44"/>
      <c r="G13" s="44"/>
      <c r="H13" s="44">
        <f>170.3+1310.1</f>
        <v>1480.3999999999999</v>
      </c>
      <c r="I13" s="44"/>
      <c r="J13" s="44"/>
      <c r="K13" s="44"/>
      <c r="L13" s="59"/>
      <c r="M13" s="44">
        <v>13672</v>
      </c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>
        <v>11890</v>
      </c>
      <c r="AC13" s="44"/>
      <c r="AD13" s="32"/>
      <c r="AE13" s="47"/>
      <c r="AF13" s="24">
        <f>10918+972</f>
        <v>11890</v>
      </c>
      <c r="AG13" s="34"/>
    </row>
    <row r="14" spans="1:33" s="18" customFormat="1" ht="20.25" x14ac:dyDescent="0.25">
      <c r="A14" s="40">
        <v>7</v>
      </c>
      <c r="B14" s="49" t="s">
        <v>84</v>
      </c>
      <c r="C14" s="42">
        <f t="shared" si="0"/>
        <v>280703.7</v>
      </c>
      <c r="D14" s="43">
        <v>93</v>
      </c>
      <c r="E14" s="44">
        <v>121259580.90000001</v>
      </c>
      <c r="F14" s="44">
        <f>31513.4+4019.4</f>
        <v>35532.800000000003</v>
      </c>
      <c r="G14" s="44"/>
      <c r="H14" s="44">
        <f>5041.4</f>
        <v>5041.3999999999996</v>
      </c>
      <c r="I14" s="44"/>
      <c r="J14" s="44"/>
      <c r="K14" s="44"/>
      <c r="L14" s="59"/>
      <c r="M14" s="59"/>
      <c r="N14" s="44"/>
      <c r="O14" s="44"/>
      <c r="P14" s="44"/>
      <c r="Q14" s="44"/>
      <c r="R14" s="44"/>
      <c r="S14" s="44">
        <v>202186.9</v>
      </c>
      <c r="T14" s="44">
        <v>2050</v>
      </c>
      <c r="U14" s="44">
        <f>7615.6</f>
        <v>7615.6</v>
      </c>
      <c r="V14" s="61">
        <f>28277</f>
        <v>28277</v>
      </c>
      <c r="W14" s="3"/>
      <c r="X14" s="44"/>
      <c r="Y14" s="44"/>
      <c r="Z14" s="3"/>
      <c r="AA14" s="44"/>
      <c r="AB14" s="44"/>
      <c r="AC14" s="44"/>
      <c r="AD14" s="32"/>
      <c r="AE14" s="47"/>
      <c r="AF14" s="24"/>
      <c r="AG14" s="34"/>
    </row>
    <row r="15" spans="1:33" s="18" customFormat="1" ht="20.25" x14ac:dyDescent="0.25">
      <c r="A15" s="40">
        <v>8</v>
      </c>
      <c r="B15" s="49" t="s">
        <v>85</v>
      </c>
      <c r="C15" s="42">
        <f t="shared" si="0"/>
        <v>454886</v>
      </c>
      <c r="D15" s="43">
        <v>13</v>
      </c>
      <c r="E15" s="44"/>
      <c r="F15" s="44">
        <v>10860.5</v>
      </c>
      <c r="G15" s="44"/>
      <c r="H15" s="44"/>
      <c r="I15" s="44"/>
      <c r="J15" s="44"/>
      <c r="K15" s="44"/>
      <c r="L15" s="59">
        <f>28000+2500</f>
        <v>30500</v>
      </c>
      <c r="M15" s="59">
        <v>6500.4</v>
      </c>
      <c r="N15" s="44"/>
      <c r="O15" s="44">
        <v>46333</v>
      </c>
      <c r="P15" s="44">
        <f>152000+3197.4</f>
        <v>155197.4</v>
      </c>
      <c r="Q15" s="44"/>
      <c r="R15" s="44"/>
      <c r="S15" s="44"/>
      <c r="T15" s="44"/>
      <c r="U15" s="44"/>
      <c r="V15" s="44"/>
      <c r="W15" s="44"/>
      <c r="X15" s="44">
        <f>13611.5+183068.6+8814.6</f>
        <v>205494.7</v>
      </c>
      <c r="Y15" s="44"/>
      <c r="Z15" s="44"/>
      <c r="AA15" s="44"/>
      <c r="AB15" s="44"/>
      <c r="AC15" s="3"/>
      <c r="AD15" s="32"/>
      <c r="AE15" s="47"/>
      <c r="AF15" s="24"/>
      <c r="AG15" s="34"/>
    </row>
    <row r="16" spans="1:33" s="18" customFormat="1" ht="20.25" x14ac:dyDescent="0.25">
      <c r="A16" s="40">
        <v>9</v>
      </c>
      <c r="B16" s="49" t="s">
        <v>94</v>
      </c>
      <c r="C16" s="42">
        <f t="shared" ref="C16:C17" si="2">+SUM(F16:AA16)</f>
        <v>26462.300000000003</v>
      </c>
      <c r="D16" s="43">
        <v>4</v>
      </c>
      <c r="E16" s="44">
        <v>17033936.899999999</v>
      </c>
      <c r="F16" s="44"/>
      <c r="G16" s="44"/>
      <c r="H16" s="44"/>
      <c r="I16" s="44"/>
      <c r="J16" s="44">
        <v>1000</v>
      </c>
      <c r="K16" s="44"/>
      <c r="L16" s="59"/>
      <c r="M16" s="59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>
        <v>18602.900000000001</v>
      </c>
      <c r="Z16" s="44"/>
      <c r="AA16" s="44">
        <v>6859.4</v>
      </c>
      <c r="AB16" s="44">
        <v>1000</v>
      </c>
      <c r="AC16" s="3"/>
      <c r="AD16" s="32"/>
      <c r="AE16" s="47"/>
      <c r="AF16" s="24"/>
      <c r="AG16" s="34"/>
    </row>
    <row r="17" spans="1:33" s="18" customFormat="1" ht="20.25" x14ac:dyDescent="0.25">
      <c r="A17" s="40">
        <v>10</v>
      </c>
      <c r="B17" s="49" t="s">
        <v>95</v>
      </c>
      <c r="C17" s="42">
        <f t="shared" si="2"/>
        <v>33551.899999999994</v>
      </c>
      <c r="D17" s="43">
        <v>8</v>
      </c>
      <c r="E17" s="44">
        <v>15915747.4</v>
      </c>
      <c r="F17" s="44">
        <v>1768.8</v>
      </c>
      <c r="G17" s="44"/>
      <c r="H17" s="44"/>
      <c r="I17" s="44"/>
      <c r="J17" s="44"/>
      <c r="K17" s="44"/>
      <c r="L17" s="59"/>
      <c r="M17" s="59"/>
      <c r="N17" s="44"/>
      <c r="O17" s="44"/>
      <c r="P17" s="44"/>
      <c r="Q17" s="44"/>
      <c r="R17" s="44"/>
      <c r="S17" s="44"/>
      <c r="T17" s="44"/>
      <c r="U17" s="44"/>
      <c r="V17" s="44"/>
      <c r="W17" s="44">
        <v>28479.1</v>
      </c>
      <c r="X17" s="44"/>
      <c r="Y17" s="44">
        <v>3304</v>
      </c>
      <c r="Z17" s="44"/>
      <c r="AA17" s="44"/>
      <c r="AB17" s="44"/>
      <c r="AC17" s="44">
        <v>3304</v>
      </c>
      <c r="AD17" s="32"/>
      <c r="AE17" s="47"/>
      <c r="AF17" s="24"/>
      <c r="AG17" s="34"/>
    </row>
    <row r="18" spans="1:33" s="12" customFormat="1" ht="20.25" x14ac:dyDescent="0.3">
      <c r="A18" s="53"/>
      <c r="B18" s="54" t="s">
        <v>86</v>
      </c>
      <c r="C18" s="42">
        <f>+C8+C9+C10+C11+C12+C13+C14+C15+C16+C17</f>
        <v>2602325.4999999995</v>
      </c>
      <c r="D18" s="42">
        <f>+SUM(D8:D17)</f>
        <v>418</v>
      </c>
      <c r="E18" s="55" t="s">
        <v>7</v>
      </c>
      <c r="F18" s="42">
        <f>+SUM(F8:F17)</f>
        <v>579556.60000000009</v>
      </c>
      <c r="G18" s="42">
        <f t="shared" ref="G18:AC18" si="3">+SUM(G8:G17)</f>
        <v>57718.9</v>
      </c>
      <c r="H18" s="42">
        <f t="shared" si="3"/>
        <v>73457.799999999988</v>
      </c>
      <c r="I18" s="42">
        <f t="shared" si="3"/>
        <v>31782</v>
      </c>
      <c r="J18" s="42">
        <f t="shared" si="3"/>
        <v>1000</v>
      </c>
      <c r="K18" s="42">
        <f t="shared" si="3"/>
        <v>1101.2</v>
      </c>
      <c r="L18" s="42">
        <f t="shared" si="3"/>
        <v>46943.3</v>
      </c>
      <c r="M18" s="42">
        <f t="shared" si="3"/>
        <v>20172.400000000001</v>
      </c>
      <c r="N18" s="42">
        <f t="shared" si="3"/>
        <v>219.4</v>
      </c>
      <c r="O18" s="42">
        <f t="shared" si="3"/>
        <v>46333</v>
      </c>
      <c r="P18" s="42">
        <f t="shared" si="3"/>
        <v>155197.4</v>
      </c>
      <c r="Q18" s="42">
        <f t="shared" si="3"/>
        <v>5855.1</v>
      </c>
      <c r="R18" s="42">
        <f t="shared" si="3"/>
        <v>11807.7</v>
      </c>
      <c r="S18" s="42">
        <f t="shared" si="3"/>
        <v>216640</v>
      </c>
      <c r="T18" s="42">
        <f t="shared" si="3"/>
        <v>13154.1</v>
      </c>
      <c r="U18" s="42">
        <f t="shared" si="3"/>
        <v>16704.5</v>
      </c>
      <c r="V18" s="42">
        <f t="shared" si="3"/>
        <v>32024.799999999999</v>
      </c>
      <c r="W18" s="42">
        <f t="shared" si="3"/>
        <v>30677.1</v>
      </c>
      <c r="X18" s="42">
        <f t="shared" si="3"/>
        <v>205494.7</v>
      </c>
      <c r="Y18" s="42">
        <f t="shared" si="3"/>
        <v>21906.9</v>
      </c>
      <c r="Z18" s="42">
        <f t="shared" si="3"/>
        <v>1027471</v>
      </c>
      <c r="AA18" s="42">
        <f t="shared" si="3"/>
        <v>7107.5999999999995</v>
      </c>
      <c r="AB18" s="42">
        <f t="shared" si="3"/>
        <v>33514</v>
      </c>
      <c r="AC18" s="42">
        <f t="shared" si="3"/>
        <v>3304</v>
      </c>
      <c r="AD18" s="33">
        <f>+SUM(AD8:AD15)</f>
        <v>1027471</v>
      </c>
      <c r="AE18" s="33">
        <f>+SUM(AE8:AE15)</f>
        <v>248.2</v>
      </c>
      <c r="AF18" s="33">
        <f>+SUM(AF8:AF15)</f>
        <v>16130.4</v>
      </c>
      <c r="AG18" s="33">
        <f>+SUM(AG8:AG15)</f>
        <v>0</v>
      </c>
    </row>
    <row r="19" spans="1:33" x14ac:dyDescent="0.3">
      <c r="A19" s="5"/>
      <c r="C19" s="4"/>
      <c r="F19" s="4"/>
    </row>
    <row r="20" spans="1:33" x14ac:dyDescent="0.3">
      <c r="F20" s="8"/>
      <c r="G20" s="8"/>
      <c r="H20" s="8"/>
      <c r="I20" s="8"/>
      <c r="J20" s="8"/>
      <c r="K20" s="8"/>
      <c r="U20" s="8"/>
    </row>
    <row r="21" spans="1:33" x14ac:dyDescent="0.3">
      <c r="C21" s="4"/>
      <c r="H21" s="9"/>
      <c r="I21" s="16"/>
      <c r="J21" s="16"/>
    </row>
    <row r="22" spans="1:33" x14ac:dyDescent="0.3">
      <c r="H22" s="9"/>
      <c r="I22" s="16"/>
      <c r="J22" s="16"/>
    </row>
    <row r="23" spans="1:33" x14ac:dyDescent="0.3">
      <c r="H23" s="9"/>
      <c r="I23" s="16"/>
      <c r="J23" s="16"/>
      <c r="L23" s="8"/>
      <c r="M23" s="8"/>
    </row>
    <row r="24" spans="1:33" x14ac:dyDescent="0.3">
      <c r="H24" s="9"/>
      <c r="I24" s="16"/>
      <c r="J24" s="16"/>
    </row>
    <row r="25" spans="1:33" x14ac:dyDescent="0.3">
      <c r="H25" s="9"/>
      <c r="I25" s="16"/>
      <c r="J25" s="16"/>
    </row>
    <row r="28" spans="1:33" x14ac:dyDescent="0.3">
      <c r="C28" s="8"/>
    </row>
  </sheetData>
  <mergeCells count="11">
    <mergeCell ref="AC6:AC7"/>
    <mergeCell ref="A2:AC2"/>
    <mergeCell ref="A3:AC3"/>
    <mergeCell ref="A4:AC4"/>
    <mergeCell ref="A6:A7"/>
    <mergeCell ref="B6:B7"/>
    <mergeCell ref="C6:C7"/>
    <mergeCell ref="D6:D7"/>
    <mergeCell ref="E6:E7"/>
    <mergeCell ref="F6:AA6"/>
    <mergeCell ref="AB6:A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1-чорак </vt:lpstr>
      <vt:lpstr>9 ойлик</vt:lpstr>
      <vt:lpstr>1-ярим йил</vt:lpstr>
      <vt:lpstr>9 oylik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Nodirjon To'xtaev</cp:lastModifiedBy>
  <dcterms:created xsi:type="dcterms:W3CDTF">2021-02-10T04:21:06Z</dcterms:created>
  <dcterms:modified xsi:type="dcterms:W3CDTF">2022-10-04T15:34:51Z</dcterms:modified>
</cp:coreProperties>
</file>